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9731999f38987e0/附件/研二/2023春季/SHELLKG_codeBase/evaluation/new_app_compare/"/>
    </mc:Choice>
  </mc:AlternateContent>
  <xr:revisionPtr revIDLastSave="898" documentId="11_95514CE60D36E4E46271C4415708C3B6FFEC8F94" xr6:coauthVersionLast="47" xr6:coauthVersionMax="47" xr10:uidLastSave="{86D89528-E114-4C1C-8E66-A0384F3704EC}"/>
  <bookViews>
    <workbookView xWindow="9150" yWindow="5280" windowWidth="28800" windowHeight="15345" firstSheet="17" activeTab="24" xr2:uid="{00000000-000D-0000-FFFF-FFFF00000000}"/>
  </bookViews>
  <sheets>
    <sheet name="1_1_1" sheetId="1" r:id="rId1"/>
    <sheet name="0.1_0.1_0.8" sheetId="2" r:id="rId2"/>
    <sheet name="0.1_0.2_0.7" sheetId="3" r:id="rId3"/>
    <sheet name="0.1_0.3_0.6" sheetId="4" r:id="rId4"/>
    <sheet name="0.1_0.4_0.5" sheetId="5" r:id="rId5"/>
    <sheet name="0.1_0.5_0.4" sheetId="6" r:id="rId6"/>
    <sheet name="0.1_0.6_0.3" sheetId="7" r:id="rId7"/>
    <sheet name="0.1_0.7_0.2" sheetId="8" r:id="rId8"/>
    <sheet name="0.1_0.8_0.1" sheetId="9" r:id="rId9"/>
    <sheet name="0.2_0.1_0.7" sheetId="10" r:id="rId10"/>
    <sheet name="0.2_0.2_0.6" sheetId="11" r:id="rId11"/>
    <sheet name="0.2_0.3_0.5" sheetId="12" r:id="rId12"/>
    <sheet name="0.2_0.4_0.4" sheetId="13" r:id="rId13"/>
    <sheet name="0.2_0.5_0.3" sheetId="14" r:id="rId14"/>
    <sheet name="0.2_0.6_0.2" sheetId="15" r:id="rId15"/>
    <sheet name="0.2_0.7_0.1" sheetId="16" r:id="rId16"/>
    <sheet name="0.3_0.1_0.6" sheetId="17" r:id="rId17"/>
    <sheet name="0.3_0.2_0.5" sheetId="18" r:id="rId18"/>
    <sheet name="0.3_0.3_0.4" sheetId="19" r:id="rId19"/>
    <sheet name="0.3_0.4_0.3" sheetId="20" r:id="rId20"/>
    <sheet name="0.3_0.5_0.2" sheetId="21" r:id="rId21"/>
    <sheet name="0.3_0.6_0.1" sheetId="22" r:id="rId22"/>
    <sheet name="0.4_0.1_0.5" sheetId="23" r:id="rId23"/>
    <sheet name="0.4_0.2_0.4" sheetId="24" r:id="rId24"/>
    <sheet name="0.4_0.3_0.3" sheetId="25" r:id="rId25"/>
    <sheet name="0.4_0.4_0.2" sheetId="26" r:id="rId26"/>
    <sheet name="0.4_0.5_0.1" sheetId="27" r:id="rId27"/>
    <sheet name="0.5_0.1_0.4" sheetId="28" r:id="rId28"/>
    <sheet name="0.5_0.2_0.3" sheetId="29" r:id="rId29"/>
    <sheet name="0.5_0.3_0.2" sheetId="30" r:id="rId30"/>
    <sheet name="0.5_0.4_0.1" sheetId="31" r:id="rId31"/>
    <sheet name="0.6_0.1_0.3" sheetId="32" r:id="rId32"/>
    <sheet name="0.6_0.2_0.2" sheetId="33" r:id="rId33"/>
    <sheet name="0.6_0.3_0.1" sheetId="34" r:id="rId34"/>
    <sheet name="0.7_0.1_0.2" sheetId="35" r:id="rId35"/>
    <sheet name="0.7_0.2_0.1" sheetId="36" r:id="rId36"/>
    <sheet name="0.8_0.1_0.1" sheetId="37" r:id="rId3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5" l="1"/>
  <c r="D2" i="25"/>
  <c r="E2" i="25"/>
  <c r="F2" i="25"/>
  <c r="G2" i="25"/>
  <c r="B2" i="25"/>
  <c r="A436" i="37"/>
  <c r="A435" i="37"/>
  <c r="A434" i="37"/>
  <c r="A433" i="37"/>
  <c r="A432" i="37"/>
  <c r="A431" i="37"/>
  <c r="A430" i="37"/>
  <c r="A429" i="37"/>
  <c r="A428" i="37"/>
  <c r="A427" i="37"/>
  <c r="A426" i="37"/>
  <c r="A425" i="37"/>
  <c r="A424" i="37"/>
  <c r="A423" i="37"/>
  <c r="A422" i="37"/>
  <c r="A421" i="37"/>
  <c r="A420" i="37"/>
  <c r="A419" i="37"/>
  <c r="A418" i="37"/>
  <c r="A417" i="37"/>
  <c r="A416" i="37"/>
  <c r="A415" i="37"/>
  <c r="A414" i="37"/>
  <c r="A413" i="37"/>
  <c r="A412" i="37"/>
  <c r="A411" i="37"/>
  <c r="A410" i="37"/>
  <c r="A409" i="37"/>
  <c r="A408" i="37"/>
  <c r="A407" i="37"/>
  <c r="A406" i="37"/>
  <c r="A405" i="37"/>
  <c r="A404" i="37"/>
  <c r="A403" i="37"/>
  <c r="A402" i="37"/>
  <c r="A401" i="37"/>
  <c r="A400" i="37"/>
  <c r="A399" i="37"/>
  <c r="A398" i="37"/>
  <c r="A397" i="37"/>
  <c r="A396" i="37"/>
  <c r="A395" i="37"/>
  <c r="A394" i="37"/>
  <c r="A393" i="37"/>
  <c r="A392" i="37"/>
  <c r="A391" i="37"/>
  <c r="A390" i="37"/>
  <c r="A389" i="37"/>
  <c r="A388" i="37"/>
  <c r="A387" i="37"/>
  <c r="A386" i="37"/>
  <c r="A385" i="37"/>
  <c r="A384" i="37"/>
  <c r="A383" i="37"/>
  <c r="A382" i="37"/>
  <c r="A381" i="37"/>
  <c r="A380" i="37"/>
  <c r="A379" i="37"/>
  <c r="A378" i="37"/>
  <c r="A377" i="37"/>
  <c r="A376" i="37"/>
  <c r="A375" i="37"/>
  <c r="A374" i="37"/>
  <c r="A373" i="37"/>
  <c r="A372" i="37"/>
  <c r="A371" i="37"/>
  <c r="A370" i="37"/>
  <c r="A369" i="37"/>
  <c r="A368" i="37"/>
  <c r="A367" i="37"/>
  <c r="A366" i="37"/>
  <c r="A365" i="37"/>
  <c r="A364" i="37"/>
  <c r="A363" i="37"/>
  <c r="A362" i="37"/>
  <c r="A361" i="37"/>
  <c r="A360" i="37"/>
  <c r="A359" i="37"/>
  <c r="A358" i="37"/>
  <c r="A357" i="37"/>
  <c r="A356" i="37"/>
  <c r="A355" i="37"/>
  <c r="A354" i="37"/>
  <c r="A353" i="37"/>
  <c r="A352" i="37"/>
  <c r="A351" i="37"/>
  <c r="A350" i="37"/>
  <c r="A349" i="37"/>
  <c r="A348" i="37"/>
  <c r="A347" i="37"/>
  <c r="A346" i="37"/>
  <c r="A345" i="37"/>
  <c r="A344" i="37"/>
  <c r="A343" i="37"/>
  <c r="A342" i="37"/>
  <c r="A341" i="37"/>
  <c r="A340" i="37"/>
  <c r="A339" i="37"/>
  <c r="A338" i="37"/>
  <c r="A337" i="37"/>
  <c r="A336" i="37"/>
  <c r="A335" i="37"/>
  <c r="A334" i="37"/>
  <c r="A333" i="37"/>
  <c r="A332" i="37"/>
  <c r="A331" i="37"/>
  <c r="A330" i="37"/>
  <c r="A329" i="37"/>
  <c r="A328" i="37"/>
  <c r="A327" i="37"/>
  <c r="A326" i="37"/>
  <c r="A325" i="37"/>
  <c r="A324" i="37"/>
  <c r="A323" i="37"/>
  <c r="A322" i="37"/>
  <c r="A321" i="37"/>
  <c r="A320" i="37"/>
  <c r="A319" i="37"/>
  <c r="A318" i="37"/>
  <c r="A317" i="37"/>
  <c r="A316" i="37"/>
  <c r="A315" i="37"/>
  <c r="A314" i="37"/>
  <c r="A313" i="37"/>
  <c r="A312" i="37"/>
  <c r="A311" i="37"/>
  <c r="A310" i="37"/>
  <c r="A309" i="37"/>
  <c r="A308" i="37"/>
  <c r="A307" i="37"/>
  <c r="A306" i="37"/>
  <c r="A305" i="37"/>
  <c r="A304" i="37"/>
  <c r="A303" i="37"/>
  <c r="A302" i="37"/>
  <c r="A301" i="37"/>
  <c r="A300" i="37"/>
  <c r="A299" i="37"/>
  <c r="A298" i="37"/>
  <c r="A297" i="37"/>
  <c r="A296" i="37"/>
  <c r="A295" i="37"/>
  <c r="A294" i="37"/>
  <c r="A293" i="37"/>
  <c r="A292" i="37"/>
  <c r="A291" i="37"/>
  <c r="A290" i="37"/>
  <c r="A289" i="37"/>
  <c r="A288" i="37"/>
  <c r="A287" i="37"/>
  <c r="A286" i="37"/>
  <c r="A285" i="37"/>
  <c r="A284" i="37"/>
  <c r="A283" i="37"/>
  <c r="A282" i="37"/>
  <c r="A281" i="37"/>
  <c r="A280" i="37"/>
  <c r="A279" i="37"/>
  <c r="A278" i="37"/>
  <c r="A277" i="37"/>
  <c r="A276" i="37"/>
  <c r="A275" i="37"/>
  <c r="A274" i="37"/>
  <c r="A273" i="37"/>
  <c r="A272" i="37"/>
  <c r="A271" i="37"/>
  <c r="A270" i="37"/>
  <c r="A269" i="37"/>
  <c r="A268" i="37"/>
  <c r="A267" i="37"/>
  <c r="A266" i="37"/>
  <c r="A265" i="37"/>
  <c r="A264" i="37"/>
  <c r="A263" i="37"/>
  <c r="A262" i="37"/>
  <c r="A261" i="37"/>
  <c r="A260" i="37"/>
  <c r="A259" i="37"/>
  <c r="A258" i="37"/>
  <c r="A257" i="37"/>
  <c r="A256" i="37"/>
  <c r="A255" i="37"/>
  <c r="A254" i="37"/>
  <c r="A253" i="37"/>
  <c r="A252" i="37"/>
  <c r="A251" i="37"/>
  <c r="A250" i="37"/>
  <c r="A249" i="37"/>
  <c r="A248" i="37"/>
  <c r="A247" i="37"/>
  <c r="A246" i="37"/>
  <c r="A245" i="37"/>
  <c r="A244" i="37"/>
  <c r="A243" i="37"/>
  <c r="A242" i="37"/>
  <c r="A241" i="37"/>
  <c r="A240" i="37"/>
  <c r="A239" i="37"/>
  <c r="A238" i="37"/>
  <c r="A237" i="37"/>
  <c r="A236" i="37"/>
  <c r="A235" i="37"/>
  <c r="A234" i="37"/>
  <c r="A233" i="37"/>
  <c r="A232" i="37"/>
  <c r="A231" i="37"/>
  <c r="A230" i="37"/>
  <c r="A229" i="37"/>
  <c r="A228" i="37"/>
  <c r="A227" i="37"/>
  <c r="A226" i="37"/>
  <c r="A225" i="37"/>
  <c r="A224" i="37"/>
  <c r="A223" i="37"/>
  <c r="A222" i="37"/>
  <c r="A221" i="37"/>
  <c r="A220" i="37"/>
  <c r="A219" i="37"/>
  <c r="A218" i="37"/>
  <c r="A217" i="37"/>
  <c r="A216" i="37"/>
  <c r="A215" i="37"/>
  <c r="A214" i="37"/>
  <c r="A213" i="37"/>
  <c r="A212" i="37"/>
  <c r="A211" i="37"/>
  <c r="A210" i="37"/>
  <c r="A209" i="37"/>
  <c r="A208" i="37"/>
  <c r="A207" i="37"/>
  <c r="A206" i="37"/>
  <c r="A205" i="37"/>
  <c r="A204" i="37"/>
  <c r="A203" i="37"/>
  <c r="A202" i="37"/>
  <c r="A201" i="37"/>
  <c r="A200" i="37"/>
  <c r="A199" i="37"/>
  <c r="A198" i="37"/>
  <c r="A197" i="37"/>
  <c r="A196" i="37"/>
  <c r="A195" i="37"/>
  <c r="A194" i="37"/>
  <c r="A193" i="37"/>
  <c r="A192" i="37"/>
  <c r="A191" i="37"/>
  <c r="A190" i="37"/>
  <c r="A189" i="37"/>
  <c r="A188" i="37"/>
  <c r="A187" i="37"/>
  <c r="A186" i="37"/>
  <c r="A185" i="37"/>
  <c r="A184" i="37"/>
  <c r="A183" i="37"/>
  <c r="A182" i="37"/>
  <c r="A181" i="37"/>
  <c r="A180" i="37"/>
  <c r="A179" i="37"/>
  <c r="A178" i="37"/>
  <c r="A177" i="37"/>
  <c r="A176" i="37"/>
  <c r="A175" i="37"/>
  <c r="A174" i="37"/>
  <c r="A173" i="37"/>
  <c r="A172" i="37"/>
  <c r="A171" i="37"/>
  <c r="A170" i="37"/>
  <c r="A169" i="37"/>
  <c r="A168" i="37"/>
  <c r="A167" i="37"/>
  <c r="A166" i="37"/>
  <c r="A165" i="37"/>
  <c r="A164" i="37"/>
  <c r="A163" i="37"/>
  <c r="A162" i="37"/>
  <c r="A161" i="37"/>
  <c r="A160" i="37"/>
  <c r="A159" i="37"/>
  <c r="A158" i="37"/>
  <c r="A157" i="37"/>
  <c r="A156" i="37"/>
  <c r="A155" i="37"/>
  <c r="A154" i="37"/>
  <c r="A153" i="37"/>
  <c r="A152" i="37"/>
  <c r="A151" i="37"/>
  <c r="A150" i="37"/>
  <c r="A149" i="37"/>
  <c r="A148" i="37"/>
  <c r="A147" i="37"/>
  <c r="A146" i="37"/>
  <c r="A145" i="37"/>
  <c r="A144" i="37"/>
  <c r="A143" i="37"/>
  <c r="A142" i="37"/>
  <c r="A141" i="37"/>
  <c r="A140" i="37"/>
  <c r="A139" i="37"/>
  <c r="A138" i="37"/>
  <c r="A137" i="37"/>
  <c r="A136" i="37"/>
  <c r="A135" i="37"/>
  <c r="A134" i="37"/>
  <c r="A133" i="37"/>
  <c r="A132" i="37"/>
  <c r="A131" i="37"/>
  <c r="A130" i="37"/>
  <c r="A129" i="37"/>
  <c r="A128" i="37"/>
  <c r="A127" i="37"/>
  <c r="A126" i="37"/>
  <c r="A125" i="37"/>
  <c r="A124" i="37"/>
  <c r="A123" i="37"/>
  <c r="A122" i="37"/>
  <c r="A121" i="37"/>
  <c r="A120" i="37"/>
  <c r="A119" i="37"/>
  <c r="A118" i="37"/>
  <c r="A117" i="37"/>
  <c r="A116" i="37"/>
  <c r="A115" i="37"/>
  <c r="A114" i="37"/>
  <c r="A113" i="37"/>
  <c r="A112" i="37"/>
  <c r="A111" i="37"/>
  <c r="A110" i="37"/>
  <c r="A109" i="37"/>
  <c r="A108" i="37"/>
  <c r="A107" i="37"/>
  <c r="A106" i="37"/>
  <c r="A105" i="37"/>
  <c r="A104" i="37"/>
  <c r="A103" i="37"/>
  <c r="A102" i="37"/>
  <c r="A101" i="37"/>
  <c r="A100" i="37"/>
  <c r="A99" i="37"/>
  <c r="A98" i="37"/>
  <c r="A97" i="37"/>
  <c r="A96" i="37"/>
  <c r="A95" i="37"/>
  <c r="A94" i="37"/>
  <c r="A93" i="37"/>
  <c r="A92" i="37"/>
  <c r="A91" i="37"/>
  <c r="A90" i="37"/>
  <c r="A89" i="37"/>
  <c r="A88" i="37"/>
  <c r="A87" i="37"/>
  <c r="A86" i="37"/>
  <c r="A85" i="37"/>
  <c r="A84" i="37"/>
  <c r="A83" i="37"/>
  <c r="A82" i="37"/>
  <c r="A81" i="37"/>
  <c r="A80" i="37"/>
  <c r="A79" i="37"/>
  <c r="A78" i="37"/>
  <c r="A77" i="37"/>
  <c r="A76" i="37"/>
  <c r="A75" i="37"/>
  <c r="A74" i="37"/>
  <c r="A73" i="37"/>
  <c r="A72" i="37"/>
  <c r="A71" i="37"/>
  <c r="A70" i="37"/>
  <c r="A69" i="37"/>
  <c r="A68" i="37"/>
  <c r="A67" i="37"/>
  <c r="A66" i="37"/>
  <c r="A65" i="37"/>
  <c r="A64" i="37"/>
  <c r="A63" i="37"/>
  <c r="A62" i="37"/>
  <c r="A61" i="37"/>
  <c r="A60" i="37"/>
  <c r="A59" i="37"/>
  <c r="A58" i="37"/>
  <c r="A57" i="37"/>
  <c r="A56" i="37"/>
  <c r="A55" i="37"/>
  <c r="A54" i="37"/>
  <c r="A53" i="37"/>
  <c r="A52" i="37"/>
  <c r="A51" i="37"/>
  <c r="A50" i="37"/>
  <c r="A49" i="37"/>
  <c r="A48" i="37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4" i="37"/>
  <c r="A3" i="37"/>
  <c r="A436" i="36"/>
  <c r="A435" i="36"/>
  <c r="A434" i="36"/>
  <c r="A433" i="36"/>
  <c r="A432" i="36"/>
  <c r="A431" i="36"/>
  <c r="A430" i="36"/>
  <c r="A429" i="36"/>
  <c r="A428" i="36"/>
  <c r="A427" i="36"/>
  <c r="A426" i="36"/>
  <c r="A425" i="36"/>
  <c r="A424" i="36"/>
  <c r="A423" i="36"/>
  <c r="A422" i="36"/>
  <c r="A421" i="36"/>
  <c r="A420" i="36"/>
  <c r="A419" i="36"/>
  <c r="A418" i="36"/>
  <c r="A417" i="36"/>
  <c r="A416" i="36"/>
  <c r="A415" i="36"/>
  <c r="A414" i="36"/>
  <c r="A413" i="36"/>
  <c r="A412" i="36"/>
  <c r="A411" i="36"/>
  <c r="A410" i="36"/>
  <c r="A409" i="36"/>
  <c r="A408" i="36"/>
  <c r="A407" i="36"/>
  <c r="A406" i="36"/>
  <c r="A405" i="36"/>
  <c r="A404" i="36"/>
  <c r="A403" i="36"/>
  <c r="A402" i="36"/>
  <c r="A401" i="36"/>
  <c r="A400" i="36"/>
  <c r="A399" i="36"/>
  <c r="A398" i="36"/>
  <c r="A397" i="36"/>
  <c r="A396" i="36"/>
  <c r="A395" i="36"/>
  <c r="A394" i="36"/>
  <c r="A393" i="36"/>
  <c r="A392" i="36"/>
  <c r="A391" i="36"/>
  <c r="A390" i="36"/>
  <c r="A389" i="36"/>
  <c r="A388" i="36"/>
  <c r="A387" i="36"/>
  <c r="A386" i="36"/>
  <c r="A385" i="36"/>
  <c r="A384" i="36"/>
  <c r="A383" i="36"/>
  <c r="A382" i="36"/>
  <c r="A381" i="36"/>
  <c r="A380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A339" i="36"/>
  <c r="A338" i="36"/>
  <c r="A337" i="36"/>
  <c r="A336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A304" i="36"/>
  <c r="A303" i="36"/>
  <c r="A302" i="36"/>
  <c r="A301" i="36"/>
  <c r="A300" i="36"/>
  <c r="A299" i="36"/>
  <c r="A298" i="36"/>
  <c r="A297" i="36"/>
  <c r="A296" i="36"/>
  <c r="A295" i="36"/>
  <c r="A294" i="36"/>
  <c r="A293" i="36"/>
  <c r="A292" i="36"/>
  <c r="A291" i="36"/>
  <c r="A290" i="36"/>
  <c r="A289" i="36"/>
  <c r="A288" i="36"/>
  <c r="A287" i="36"/>
  <c r="A286" i="36"/>
  <c r="A285" i="36"/>
  <c r="A284" i="36"/>
  <c r="A283" i="36"/>
  <c r="A282" i="36"/>
  <c r="A281" i="36"/>
  <c r="A280" i="36"/>
  <c r="A279" i="36"/>
  <c r="A278" i="36"/>
  <c r="A277" i="36"/>
  <c r="A276" i="36"/>
  <c r="A275" i="36"/>
  <c r="A274" i="36"/>
  <c r="A273" i="36"/>
  <c r="A272" i="36"/>
  <c r="A271" i="36"/>
  <c r="A270" i="36"/>
  <c r="A269" i="36"/>
  <c r="A268" i="36"/>
  <c r="A267" i="36"/>
  <c r="A266" i="36"/>
  <c r="A265" i="36"/>
  <c r="A264" i="36"/>
  <c r="A263" i="36"/>
  <c r="A262" i="36"/>
  <c r="A261" i="36"/>
  <c r="A260" i="36"/>
  <c r="A259" i="36"/>
  <c r="A258" i="36"/>
  <c r="A257" i="36"/>
  <c r="A256" i="36"/>
  <c r="A255" i="36"/>
  <c r="A254" i="36"/>
  <c r="A253" i="36"/>
  <c r="A252" i="36"/>
  <c r="A251" i="36"/>
  <c r="A250" i="36"/>
  <c r="A249" i="36"/>
  <c r="A248" i="36"/>
  <c r="A247" i="36"/>
  <c r="A246" i="36"/>
  <c r="A245" i="36"/>
  <c r="A244" i="36"/>
  <c r="A243" i="36"/>
  <c r="A242" i="36"/>
  <c r="A241" i="36"/>
  <c r="A240" i="36"/>
  <c r="A239" i="36"/>
  <c r="A238" i="36"/>
  <c r="A237" i="36"/>
  <c r="A236" i="36"/>
  <c r="A235" i="36"/>
  <c r="A234" i="36"/>
  <c r="A233" i="36"/>
  <c r="A232" i="36"/>
  <c r="A231" i="36"/>
  <c r="A230" i="36"/>
  <c r="A229" i="36"/>
  <c r="A228" i="36"/>
  <c r="A227" i="36"/>
  <c r="A226" i="36"/>
  <c r="A225" i="36"/>
  <c r="A224" i="36"/>
  <c r="A223" i="36"/>
  <c r="A222" i="36"/>
  <c r="A221" i="36"/>
  <c r="A220" i="36"/>
  <c r="A219" i="36"/>
  <c r="A218" i="36"/>
  <c r="A217" i="36"/>
  <c r="A216" i="36"/>
  <c r="A215" i="36"/>
  <c r="A214" i="36"/>
  <c r="A213" i="36"/>
  <c r="A212" i="36"/>
  <c r="A211" i="36"/>
  <c r="A210" i="36"/>
  <c r="A209" i="36"/>
  <c r="A208" i="36"/>
  <c r="A207" i="36"/>
  <c r="A206" i="36"/>
  <c r="A205" i="36"/>
  <c r="A204" i="36"/>
  <c r="A203" i="36"/>
  <c r="A202" i="36"/>
  <c r="A201" i="36"/>
  <c r="A200" i="36"/>
  <c r="A199" i="36"/>
  <c r="A198" i="36"/>
  <c r="A197" i="36"/>
  <c r="A196" i="36"/>
  <c r="A195" i="36"/>
  <c r="A194" i="36"/>
  <c r="A193" i="36"/>
  <c r="A192" i="36"/>
  <c r="A191" i="36"/>
  <c r="A190" i="36"/>
  <c r="A189" i="36"/>
  <c r="A188" i="36"/>
  <c r="A187" i="36"/>
  <c r="A186" i="36"/>
  <c r="A185" i="36"/>
  <c r="A184" i="36"/>
  <c r="A183" i="36"/>
  <c r="A182" i="36"/>
  <c r="A181" i="36"/>
  <c r="A180" i="36"/>
  <c r="A179" i="36"/>
  <c r="A178" i="36"/>
  <c r="A177" i="36"/>
  <c r="A176" i="36"/>
  <c r="A175" i="36"/>
  <c r="A174" i="36"/>
  <c r="A173" i="36"/>
  <c r="A172" i="36"/>
  <c r="A171" i="36"/>
  <c r="A170" i="36"/>
  <c r="A169" i="36"/>
  <c r="A168" i="36"/>
  <c r="A167" i="36"/>
  <c r="A166" i="36"/>
  <c r="A165" i="36"/>
  <c r="A164" i="36"/>
  <c r="A163" i="36"/>
  <c r="A162" i="36"/>
  <c r="A161" i="36"/>
  <c r="A160" i="36"/>
  <c r="A159" i="36"/>
  <c r="A158" i="36"/>
  <c r="A157" i="36"/>
  <c r="A156" i="36"/>
  <c r="A155" i="36"/>
  <c r="A154" i="36"/>
  <c r="A153" i="36"/>
  <c r="A152" i="36"/>
  <c r="A151" i="36"/>
  <c r="A150" i="36"/>
  <c r="A149" i="36"/>
  <c r="A148" i="36"/>
  <c r="A147" i="36"/>
  <c r="A146" i="36"/>
  <c r="A145" i="36"/>
  <c r="A144" i="36"/>
  <c r="A143" i="36"/>
  <c r="A142" i="36"/>
  <c r="A141" i="36"/>
  <c r="A140" i="36"/>
  <c r="A139" i="36"/>
  <c r="A138" i="36"/>
  <c r="A137" i="36"/>
  <c r="A136" i="36"/>
  <c r="A135" i="36"/>
  <c r="A134" i="36"/>
  <c r="A133" i="36"/>
  <c r="A132" i="36"/>
  <c r="A131" i="36"/>
  <c r="A130" i="36"/>
  <c r="A129" i="36"/>
  <c r="A128" i="36"/>
  <c r="A127" i="36"/>
  <c r="A126" i="36"/>
  <c r="A125" i="36"/>
  <c r="A124" i="36"/>
  <c r="A123" i="36"/>
  <c r="A122" i="36"/>
  <c r="A121" i="36"/>
  <c r="A120" i="36"/>
  <c r="A119" i="36"/>
  <c r="A118" i="36"/>
  <c r="A117" i="36"/>
  <c r="A116" i="36"/>
  <c r="A115" i="36"/>
  <c r="A114" i="36"/>
  <c r="A113" i="36"/>
  <c r="A112" i="36"/>
  <c r="A111" i="36"/>
  <c r="A110" i="36"/>
  <c r="A109" i="36"/>
  <c r="A108" i="36"/>
  <c r="A107" i="36"/>
  <c r="A106" i="36"/>
  <c r="A105" i="36"/>
  <c r="A104" i="36"/>
  <c r="A103" i="36"/>
  <c r="A102" i="36"/>
  <c r="A101" i="36"/>
  <c r="A100" i="36"/>
  <c r="A99" i="36"/>
  <c r="A98" i="36"/>
  <c r="A97" i="36"/>
  <c r="A96" i="36"/>
  <c r="A95" i="36"/>
  <c r="A94" i="36"/>
  <c r="A93" i="36"/>
  <c r="A92" i="36"/>
  <c r="A91" i="36"/>
  <c r="A90" i="36"/>
  <c r="A89" i="36"/>
  <c r="A88" i="36"/>
  <c r="A87" i="36"/>
  <c r="A86" i="36"/>
  <c r="A85" i="36"/>
  <c r="A84" i="36"/>
  <c r="A83" i="36"/>
  <c r="A82" i="36"/>
  <c r="A81" i="36"/>
  <c r="A80" i="36"/>
  <c r="A79" i="36"/>
  <c r="A78" i="36"/>
  <c r="A77" i="36"/>
  <c r="A76" i="36"/>
  <c r="A75" i="36"/>
  <c r="A74" i="36"/>
  <c r="A73" i="36"/>
  <c r="A72" i="36"/>
  <c r="A71" i="36"/>
  <c r="A70" i="36"/>
  <c r="A69" i="36"/>
  <c r="A68" i="36"/>
  <c r="A67" i="36"/>
  <c r="A66" i="36"/>
  <c r="A65" i="36"/>
  <c r="A64" i="36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50" i="36"/>
  <c r="A49" i="36"/>
  <c r="A48" i="36"/>
  <c r="A47" i="36"/>
  <c r="A46" i="36"/>
  <c r="A45" i="36"/>
  <c r="A44" i="36"/>
  <c r="A43" i="36"/>
  <c r="A42" i="36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436" i="35"/>
  <c r="A435" i="35"/>
  <c r="A434" i="35"/>
  <c r="A433" i="35"/>
  <c r="A432" i="35"/>
  <c r="A431" i="35"/>
  <c r="A430" i="35"/>
  <c r="A429" i="35"/>
  <c r="A428" i="35"/>
  <c r="A427" i="35"/>
  <c r="A426" i="35"/>
  <c r="A425" i="35"/>
  <c r="A424" i="35"/>
  <c r="A423" i="35"/>
  <c r="A422" i="35"/>
  <c r="A421" i="35"/>
  <c r="A420" i="35"/>
  <c r="A419" i="35"/>
  <c r="A418" i="35"/>
  <c r="A417" i="35"/>
  <c r="A416" i="35"/>
  <c r="A415" i="35"/>
  <c r="A414" i="35"/>
  <c r="A413" i="35"/>
  <c r="A412" i="35"/>
  <c r="A411" i="35"/>
  <c r="A410" i="35"/>
  <c r="A409" i="35"/>
  <c r="A408" i="35"/>
  <c r="A407" i="35"/>
  <c r="A406" i="35"/>
  <c r="A405" i="35"/>
  <c r="A404" i="35"/>
  <c r="A403" i="35"/>
  <c r="A402" i="35"/>
  <c r="A401" i="35"/>
  <c r="A400" i="35"/>
  <c r="A399" i="35"/>
  <c r="A398" i="35"/>
  <c r="A397" i="35"/>
  <c r="A396" i="35"/>
  <c r="A395" i="35"/>
  <c r="A394" i="35"/>
  <c r="A393" i="35"/>
  <c r="A392" i="35"/>
  <c r="A391" i="35"/>
  <c r="A390" i="35"/>
  <c r="A389" i="35"/>
  <c r="A388" i="35"/>
  <c r="A387" i="35"/>
  <c r="A386" i="35"/>
  <c r="A385" i="35"/>
  <c r="A384" i="35"/>
  <c r="A383" i="35"/>
  <c r="A382" i="35"/>
  <c r="A381" i="35"/>
  <c r="A380" i="35"/>
  <c r="A379" i="35"/>
  <c r="A378" i="35"/>
  <c r="A377" i="35"/>
  <c r="A376" i="35"/>
  <c r="A375" i="35"/>
  <c r="A374" i="35"/>
  <c r="A373" i="35"/>
  <c r="A372" i="35"/>
  <c r="A371" i="35"/>
  <c r="A370" i="35"/>
  <c r="A369" i="35"/>
  <c r="A368" i="35"/>
  <c r="A367" i="35"/>
  <c r="A366" i="35"/>
  <c r="A365" i="35"/>
  <c r="A364" i="35"/>
  <c r="A363" i="35"/>
  <c r="A362" i="35"/>
  <c r="A361" i="35"/>
  <c r="A360" i="35"/>
  <c r="A359" i="35"/>
  <c r="A358" i="35"/>
  <c r="A357" i="35"/>
  <c r="A356" i="35"/>
  <c r="A355" i="35"/>
  <c r="A354" i="35"/>
  <c r="A353" i="35"/>
  <c r="A352" i="35"/>
  <c r="A351" i="35"/>
  <c r="A350" i="35"/>
  <c r="A349" i="35"/>
  <c r="A348" i="35"/>
  <c r="A347" i="35"/>
  <c r="A346" i="35"/>
  <c r="A345" i="35"/>
  <c r="A344" i="35"/>
  <c r="A343" i="35"/>
  <c r="A342" i="35"/>
  <c r="A341" i="35"/>
  <c r="A340" i="35"/>
  <c r="A339" i="35"/>
  <c r="A338" i="35"/>
  <c r="A337" i="35"/>
  <c r="A336" i="35"/>
  <c r="A335" i="35"/>
  <c r="A334" i="35"/>
  <c r="A333" i="35"/>
  <c r="A332" i="35"/>
  <c r="A331" i="35"/>
  <c r="A330" i="35"/>
  <c r="A329" i="35"/>
  <c r="A328" i="35"/>
  <c r="A327" i="35"/>
  <c r="A326" i="35"/>
  <c r="A325" i="35"/>
  <c r="A324" i="35"/>
  <c r="A323" i="35"/>
  <c r="A322" i="35"/>
  <c r="A321" i="35"/>
  <c r="A320" i="35"/>
  <c r="A319" i="35"/>
  <c r="A318" i="35"/>
  <c r="A317" i="35"/>
  <c r="A316" i="35"/>
  <c r="A315" i="35"/>
  <c r="A314" i="35"/>
  <c r="A313" i="35"/>
  <c r="A312" i="35"/>
  <c r="A311" i="35"/>
  <c r="A310" i="35"/>
  <c r="A309" i="35"/>
  <c r="A308" i="35"/>
  <c r="A307" i="35"/>
  <c r="A306" i="35"/>
  <c r="A305" i="35"/>
  <c r="A304" i="35"/>
  <c r="A303" i="35"/>
  <c r="A302" i="35"/>
  <c r="A301" i="35"/>
  <c r="A300" i="35"/>
  <c r="A299" i="35"/>
  <c r="A298" i="35"/>
  <c r="A297" i="35"/>
  <c r="A296" i="35"/>
  <c r="A295" i="35"/>
  <c r="A294" i="35"/>
  <c r="A293" i="35"/>
  <c r="A292" i="35"/>
  <c r="A291" i="35"/>
  <c r="A290" i="35"/>
  <c r="A289" i="35"/>
  <c r="A288" i="35"/>
  <c r="A287" i="35"/>
  <c r="A286" i="35"/>
  <c r="A285" i="35"/>
  <c r="A284" i="35"/>
  <c r="A283" i="35"/>
  <c r="A282" i="35"/>
  <c r="A281" i="35"/>
  <c r="A280" i="35"/>
  <c r="A279" i="35"/>
  <c r="A278" i="35"/>
  <c r="A277" i="35"/>
  <c r="A276" i="35"/>
  <c r="A275" i="35"/>
  <c r="A274" i="35"/>
  <c r="A273" i="35"/>
  <c r="A272" i="35"/>
  <c r="A271" i="35"/>
  <c r="A270" i="35"/>
  <c r="A269" i="35"/>
  <c r="A268" i="35"/>
  <c r="A267" i="35"/>
  <c r="A266" i="35"/>
  <c r="A265" i="35"/>
  <c r="A264" i="35"/>
  <c r="A263" i="35"/>
  <c r="A262" i="35"/>
  <c r="A261" i="35"/>
  <c r="A260" i="35"/>
  <c r="A259" i="35"/>
  <c r="A258" i="35"/>
  <c r="A257" i="35"/>
  <c r="A256" i="35"/>
  <c r="A255" i="35"/>
  <c r="A254" i="35"/>
  <c r="A253" i="35"/>
  <c r="A252" i="35"/>
  <c r="A251" i="35"/>
  <c r="A250" i="35"/>
  <c r="A249" i="35"/>
  <c r="A248" i="35"/>
  <c r="A247" i="35"/>
  <c r="A246" i="35"/>
  <c r="A245" i="35"/>
  <c r="A244" i="35"/>
  <c r="A243" i="35"/>
  <c r="A242" i="35"/>
  <c r="A241" i="35"/>
  <c r="A240" i="35"/>
  <c r="A239" i="35"/>
  <c r="A238" i="35"/>
  <c r="A237" i="35"/>
  <c r="A236" i="35"/>
  <c r="A235" i="35"/>
  <c r="A234" i="35"/>
  <c r="A233" i="35"/>
  <c r="A232" i="35"/>
  <c r="A231" i="35"/>
  <c r="A230" i="35"/>
  <c r="A229" i="35"/>
  <c r="A228" i="35"/>
  <c r="A227" i="35"/>
  <c r="A226" i="35"/>
  <c r="A225" i="35"/>
  <c r="A224" i="35"/>
  <c r="A223" i="35"/>
  <c r="A222" i="35"/>
  <c r="A221" i="35"/>
  <c r="A220" i="35"/>
  <c r="A219" i="35"/>
  <c r="A218" i="35"/>
  <c r="A217" i="35"/>
  <c r="A216" i="35"/>
  <c r="A215" i="35"/>
  <c r="A214" i="35"/>
  <c r="A213" i="35"/>
  <c r="A212" i="35"/>
  <c r="A211" i="35"/>
  <c r="A210" i="35"/>
  <c r="A209" i="35"/>
  <c r="A208" i="35"/>
  <c r="A207" i="35"/>
  <c r="A206" i="35"/>
  <c r="A205" i="35"/>
  <c r="A204" i="35"/>
  <c r="A203" i="35"/>
  <c r="A202" i="35"/>
  <c r="A201" i="35"/>
  <c r="A200" i="35"/>
  <c r="A199" i="35"/>
  <c r="A198" i="35"/>
  <c r="A197" i="35"/>
  <c r="A196" i="35"/>
  <c r="A195" i="35"/>
  <c r="A194" i="35"/>
  <c r="A193" i="35"/>
  <c r="A192" i="35"/>
  <c r="A191" i="35"/>
  <c r="A190" i="35"/>
  <c r="A189" i="35"/>
  <c r="A188" i="35"/>
  <c r="A187" i="35"/>
  <c r="A186" i="35"/>
  <c r="A185" i="35"/>
  <c r="A184" i="35"/>
  <c r="A183" i="35"/>
  <c r="A182" i="35"/>
  <c r="A181" i="35"/>
  <c r="A180" i="35"/>
  <c r="A179" i="35"/>
  <c r="A178" i="35"/>
  <c r="A177" i="35"/>
  <c r="A176" i="35"/>
  <c r="A175" i="35"/>
  <c r="A174" i="35"/>
  <c r="A173" i="35"/>
  <c r="A172" i="35"/>
  <c r="A171" i="35"/>
  <c r="A170" i="35"/>
  <c r="A169" i="35"/>
  <c r="A168" i="35"/>
  <c r="A167" i="35"/>
  <c r="A166" i="35"/>
  <c r="A165" i="35"/>
  <c r="A164" i="35"/>
  <c r="A163" i="35"/>
  <c r="A162" i="35"/>
  <c r="A161" i="35"/>
  <c r="A160" i="35"/>
  <c r="A159" i="35"/>
  <c r="A158" i="35"/>
  <c r="A157" i="35"/>
  <c r="A156" i="35"/>
  <c r="A155" i="35"/>
  <c r="A154" i="35"/>
  <c r="A153" i="35"/>
  <c r="A152" i="35"/>
  <c r="A151" i="35"/>
  <c r="A150" i="35"/>
  <c r="A149" i="35"/>
  <c r="A148" i="35"/>
  <c r="A147" i="35"/>
  <c r="A146" i="35"/>
  <c r="A145" i="35"/>
  <c r="A144" i="35"/>
  <c r="A143" i="35"/>
  <c r="A142" i="35"/>
  <c r="A141" i="35"/>
  <c r="A140" i="35"/>
  <c r="A139" i="35"/>
  <c r="A138" i="35"/>
  <c r="A137" i="35"/>
  <c r="A136" i="35"/>
  <c r="A135" i="35"/>
  <c r="A134" i="35"/>
  <c r="A133" i="35"/>
  <c r="A132" i="35"/>
  <c r="A131" i="35"/>
  <c r="A130" i="35"/>
  <c r="A129" i="35"/>
  <c r="A128" i="35"/>
  <c r="A127" i="35"/>
  <c r="A126" i="35"/>
  <c r="A125" i="35"/>
  <c r="A124" i="35"/>
  <c r="A123" i="35"/>
  <c r="A122" i="35"/>
  <c r="A121" i="35"/>
  <c r="A120" i="35"/>
  <c r="A119" i="35"/>
  <c r="A118" i="35"/>
  <c r="A117" i="35"/>
  <c r="A116" i="35"/>
  <c r="A115" i="35"/>
  <c r="A114" i="35"/>
  <c r="A113" i="35"/>
  <c r="A112" i="35"/>
  <c r="A111" i="35"/>
  <c r="A110" i="35"/>
  <c r="A109" i="35"/>
  <c r="A108" i="35"/>
  <c r="A107" i="35"/>
  <c r="A106" i="35"/>
  <c r="A105" i="35"/>
  <c r="A104" i="35"/>
  <c r="A103" i="35"/>
  <c r="A102" i="35"/>
  <c r="A101" i="35"/>
  <c r="A100" i="35"/>
  <c r="A99" i="35"/>
  <c r="A98" i="35"/>
  <c r="A97" i="35"/>
  <c r="A96" i="35"/>
  <c r="A95" i="35"/>
  <c r="A94" i="35"/>
  <c r="A93" i="35"/>
  <c r="A92" i="35"/>
  <c r="A91" i="35"/>
  <c r="A90" i="35"/>
  <c r="A89" i="35"/>
  <c r="A88" i="35"/>
  <c r="A87" i="35"/>
  <c r="A86" i="35"/>
  <c r="A85" i="35"/>
  <c r="A84" i="35"/>
  <c r="A83" i="35"/>
  <c r="A82" i="35"/>
  <c r="A81" i="35"/>
  <c r="A80" i="35"/>
  <c r="A79" i="35"/>
  <c r="A78" i="35"/>
  <c r="A77" i="35"/>
  <c r="A76" i="35"/>
  <c r="A75" i="35"/>
  <c r="A74" i="35"/>
  <c r="A73" i="35"/>
  <c r="A72" i="35"/>
  <c r="A71" i="35"/>
  <c r="A70" i="35"/>
  <c r="A69" i="35"/>
  <c r="A68" i="35"/>
  <c r="A67" i="35"/>
  <c r="A66" i="35"/>
  <c r="A65" i="35"/>
  <c r="A64" i="35"/>
  <c r="A63" i="35"/>
  <c r="A62" i="35"/>
  <c r="A61" i="35"/>
  <c r="A60" i="35"/>
  <c r="A59" i="35"/>
  <c r="A58" i="35"/>
  <c r="A57" i="35"/>
  <c r="A56" i="35"/>
  <c r="A55" i="35"/>
  <c r="A54" i="35"/>
  <c r="A53" i="35"/>
  <c r="A52" i="35"/>
  <c r="A51" i="35"/>
  <c r="A50" i="35"/>
  <c r="A49" i="35"/>
  <c r="A48" i="35"/>
  <c r="A47" i="35"/>
  <c r="A46" i="35"/>
  <c r="A45" i="35"/>
  <c r="A44" i="35"/>
  <c r="A43" i="35"/>
  <c r="A42" i="35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436" i="34"/>
  <c r="A435" i="34"/>
  <c r="A434" i="34"/>
  <c r="A433" i="34"/>
  <c r="A432" i="34"/>
  <c r="A431" i="34"/>
  <c r="A430" i="34"/>
  <c r="A429" i="34"/>
  <c r="A428" i="34"/>
  <c r="A427" i="34"/>
  <c r="A426" i="34"/>
  <c r="A425" i="34"/>
  <c r="A424" i="34"/>
  <c r="A423" i="34"/>
  <c r="A422" i="34"/>
  <c r="A421" i="34"/>
  <c r="A420" i="34"/>
  <c r="A419" i="34"/>
  <c r="A418" i="34"/>
  <c r="A417" i="34"/>
  <c r="A416" i="34"/>
  <c r="A415" i="34"/>
  <c r="A414" i="34"/>
  <c r="A413" i="34"/>
  <c r="A412" i="34"/>
  <c r="A411" i="34"/>
  <c r="A410" i="34"/>
  <c r="A409" i="34"/>
  <c r="A408" i="34"/>
  <c r="A407" i="34"/>
  <c r="A406" i="34"/>
  <c r="A405" i="34"/>
  <c r="A404" i="34"/>
  <c r="A403" i="34"/>
  <c r="A402" i="34"/>
  <c r="A401" i="34"/>
  <c r="A400" i="34"/>
  <c r="A399" i="34"/>
  <c r="A398" i="34"/>
  <c r="A397" i="34"/>
  <c r="A396" i="34"/>
  <c r="A395" i="34"/>
  <c r="A394" i="34"/>
  <c r="A393" i="34"/>
  <c r="A392" i="34"/>
  <c r="A391" i="34"/>
  <c r="A390" i="34"/>
  <c r="A389" i="34"/>
  <c r="A388" i="34"/>
  <c r="A387" i="34"/>
  <c r="A386" i="34"/>
  <c r="A385" i="34"/>
  <c r="A384" i="34"/>
  <c r="A383" i="34"/>
  <c r="A382" i="34"/>
  <c r="A381" i="34"/>
  <c r="A380" i="34"/>
  <c r="A379" i="34"/>
  <c r="A378" i="34"/>
  <c r="A377" i="34"/>
  <c r="A376" i="34"/>
  <c r="A375" i="34"/>
  <c r="A374" i="34"/>
  <c r="A373" i="34"/>
  <c r="A372" i="34"/>
  <c r="A371" i="34"/>
  <c r="A370" i="34"/>
  <c r="A369" i="34"/>
  <c r="A368" i="34"/>
  <c r="A367" i="34"/>
  <c r="A366" i="34"/>
  <c r="A365" i="34"/>
  <c r="A364" i="34"/>
  <c r="A363" i="34"/>
  <c r="A362" i="34"/>
  <c r="A361" i="34"/>
  <c r="A360" i="34"/>
  <c r="A359" i="34"/>
  <c r="A358" i="34"/>
  <c r="A357" i="34"/>
  <c r="A356" i="34"/>
  <c r="A355" i="34"/>
  <c r="A354" i="34"/>
  <c r="A353" i="34"/>
  <c r="A352" i="34"/>
  <c r="A351" i="34"/>
  <c r="A350" i="34"/>
  <c r="A349" i="34"/>
  <c r="A348" i="34"/>
  <c r="A347" i="34"/>
  <c r="A346" i="34"/>
  <c r="A345" i="34"/>
  <c r="A344" i="34"/>
  <c r="A343" i="34"/>
  <c r="A342" i="34"/>
  <c r="A341" i="34"/>
  <c r="A340" i="34"/>
  <c r="A339" i="34"/>
  <c r="A338" i="34"/>
  <c r="A337" i="34"/>
  <c r="A336" i="34"/>
  <c r="A335" i="34"/>
  <c r="A334" i="34"/>
  <c r="A333" i="34"/>
  <c r="A332" i="34"/>
  <c r="A331" i="34"/>
  <c r="A330" i="34"/>
  <c r="A329" i="34"/>
  <c r="A328" i="34"/>
  <c r="A327" i="34"/>
  <c r="A326" i="34"/>
  <c r="A325" i="34"/>
  <c r="A324" i="34"/>
  <c r="A323" i="34"/>
  <c r="A322" i="34"/>
  <c r="A321" i="34"/>
  <c r="A320" i="34"/>
  <c r="A319" i="34"/>
  <c r="A318" i="34"/>
  <c r="A317" i="34"/>
  <c r="A316" i="34"/>
  <c r="A315" i="34"/>
  <c r="A314" i="34"/>
  <c r="A313" i="34"/>
  <c r="A312" i="34"/>
  <c r="A311" i="34"/>
  <c r="A310" i="34"/>
  <c r="A309" i="34"/>
  <c r="A308" i="34"/>
  <c r="A307" i="34"/>
  <c r="A306" i="34"/>
  <c r="A305" i="34"/>
  <c r="A304" i="34"/>
  <c r="A303" i="34"/>
  <c r="A302" i="34"/>
  <c r="A301" i="34"/>
  <c r="A300" i="34"/>
  <c r="A299" i="34"/>
  <c r="A298" i="34"/>
  <c r="A297" i="34"/>
  <c r="A296" i="34"/>
  <c r="A295" i="34"/>
  <c r="A294" i="34"/>
  <c r="A293" i="34"/>
  <c r="A292" i="34"/>
  <c r="A291" i="34"/>
  <c r="A290" i="34"/>
  <c r="A289" i="34"/>
  <c r="A288" i="34"/>
  <c r="A287" i="34"/>
  <c r="A286" i="34"/>
  <c r="A285" i="34"/>
  <c r="A284" i="34"/>
  <c r="A283" i="34"/>
  <c r="A282" i="34"/>
  <c r="A281" i="34"/>
  <c r="A280" i="34"/>
  <c r="A279" i="34"/>
  <c r="A278" i="34"/>
  <c r="A277" i="34"/>
  <c r="A276" i="34"/>
  <c r="A275" i="34"/>
  <c r="A274" i="34"/>
  <c r="A273" i="34"/>
  <c r="A272" i="34"/>
  <c r="A271" i="34"/>
  <c r="A270" i="34"/>
  <c r="A269" i="34"/>
  <c r="A268" i="34"/>
  <c r="A267" i="34"/>
  <c r="A266" i="34"/>
  <c r="A265" i="34"/>
  <c r="A264" i="34"/>
  <c r="A263" i="34"/>
  <c r="A262" i="34"/>
  <c r="A261" i="34"/>
  <c r="A260" i="34"/>
  <c r="A259" i="34"/>
  <c r="A258" i="34"/>
  <c r="A257" i="34"/>
  <c r="A256" i="34"/>
  <c r="A255" i="34"/>
  <c r="A254" i="34"/>
  <c r="A253" i="34"/>
  <c r="A252" i="34"/>
  <c r="A251" i="34"/>
  <c r="A250" i="34"/>
  <c r="A249" i="34"/>
  <c r="A248" i="34"/>
  <c r="A247" i="34"/>
  <c r="A246" i="34"/>
  <c r="A245" i="34"/>
  <c r="A244" i="34"/>
  <c r="A243" i="34"/>
  <c r="A242" i="34"/>
  <c r="A241" i="34"/>
  <c r="A240" i="34"/>
  <c r="A239" i="34"/>
  <c r="A238" i="34"/>
  <c r="A237" i="34"/>
  <c r="A236" i="34"/>
  <c r="A235" i="34"/>
  <c r="A234" i="34"/>
  <c r="A233" i="34"/>
  <c r="A232" i="34"/>
  <c r="A231" i="34"/>
  <c r="A230" i="34"/>
  <c r="A229" i="34"/>
  <c r="A228" i="34"/>
  <c r="A227" i="34"/>
  <c r="A226" i="34"/>
  <c r="A225" i="34"/>
  <c r="A224" i="34"/>
  <c r="A223" i="34"/>
  <c r="A222" i="34"/>
  <c r="A221" i="34"/>
  <c r="A220" i="34"/>
  <c r="A219" i="34"/>
  <c r="A218" i="34"/>
  <c r="A217" i="34"/>
  <c r="A216" i="34"/>
  <c r="A215" i="34"/>
  <c r="A214" i="34"/>
  <c r="A213" i="34"/>
  <c r="A212" i="34"/>
  <c r="A211" i="34"/>
  <c r="A210" i="34"/>
  <c r="A209" i="34"/>
  <c r="A208" i="34"/>
  <c r="A207" i="34"/>
  <c r="A206" i="34"/>
  <c r="A205" i="34"/>
  <c r="A204" i="34"/>
  <c r="A203" i="34"/>
  <c r="A202" i="34"/>
  <c r="A201" i="34"/>
  <c r="A200" i="34"/>
  <c r="A199" i="34"/>
  <c r="A198" i="34"/>
  <c r="A197" i="34"/>
  <c r="A196" i="34"/>
  <c r="A195" i="34"/>
  <c r="A194" i="34"/>
  <c r="A193" i="34"/>
  <c r="A192" i="34"/>
  <c r="A191" i="34"/>
  <c r="A190" i="34"/>
  <c r="A189" i="34"/>
  <c r="A188" i="34"/>
  <c r="A187" i="34"/>
  <c r="A186" i="34"/>
  <c r="A185" i="34"/>
  <c r="A184" i="34"/>
  <c r="A183" i="34"/>
  <c r="A182" i="34"/>
  <c r="A181" i="34"/>
  <c r="A180" i="34"/>
  <c r="A179" i="34"/>
  <c r="A178" i="34"/>
  <c r="A177" i="34"/>
  <c r="A176" i="34"/>
  <c r="A175" i="34"/>
  <c r="A174" i="34"/>
  <c r="A173" i="34"/>
  <c r="A172" i="34"/>
  <c r="A171" i="34"/>
  <c r="A170" i="34"/>
  <c r="A169" i="34"/>
  <c r="A168" i="34"/>
  <c r="A167" i="34"/>
  <c r="A166" i="34"/>
  <c r="A165" i="34"/>
  <c r="A164" i="34"/>
  <c r="A163" i="34"/>
  <c r="A162" i="34"/>
  <c r="A161" i="34"/>
  <c r="A160" i="34"/>
  <c r="A159" i="34"/>
  <c r="A158" i="34"/>
  <c r="A157" i="34"/>
  <c r="A156" i="34"/>
  <c r="A155" i="34"/>
  <c r="A154" i="34"/>
  <c r="A153" i="34"/>
  <c r="A152" i="34"/>
  <c r="A151" i="34"/>
  <c r="A150" i="34"/>
  <c r="A149" i="34"/>
  <c r="A148" i="34"/>
  <c r="A147" i="34"/>
  <c r="A146" i="34"/>
  <c r="A145" i="34"/>
  <c r="A144" i="34"/>
  <c r="A143" i="34"/>
  <c r="A142" i="34"/>
  <c r="A141" i="34"/>
  <c r="A140" i="34"/>
  <c r="A139" i="34"/>
  <c r="A138" i="34"/>
  <c r="A137" i="34"/>
  <c r="A136" i="34"/>
  <c r="A135" i="34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436" i="33"/>
  <c r="A435" i="33"/>
  <c r="A434" i="33"/>
  <c r="A433" i="33"/>
  <c r="A432" i="33"/>
  <c r="A431" i="33"/>
  <c r="A430" i="33"/>
  <c r="A429" i="33"/>
  <c r="A428" i="33"/>
  <c r="A427" i="33"/>
  <c r="A426" i="33"/>
  <c r="A425" i="33"/>
  <c r="A424" i="33"/>
  <c r="A423" i="33"/>
  <c r="A422" i="33"/>
  <c r="A421" i="33"/>
  <c r="A420" i="33"/>
  <c r="A419" i="33"/>
  <c r="A418" i="33"/>
  <c r="A417" i="33"/>
  <c r="A416" i="33"/>
  <c r="A415" i="33"/>
  <c r="A414" i="33"/>
  <c r="A413" i="33"/>
  <c r="A412" i="33"/>
  <c r="A411" i="33"/>
  <c r="A410" i="33"/>
  <c r="A409" i="33"/>
  <c r="A408" i="33"/>
  <c r="A407" i="33"/>
  <c r="A406" i="33"/>
  <c r="A405" i="33"/>
  <c r="A404" i="33"/>
  <c r="A403" i="33"/>
  <c r="A402" i="33"/>
  <c r="A401" i="33"/>
  <c r="A400" i="33"/>
  <c r="A399" i="33"/>
  <c r="A398" i="33"/>
  <c r="A397" i="33"/>
  <c r="A396" i="33"/>
  <c r="A395" i="33"/>
  <c r="A394" i="33"/>
  <c r="A393" i="33"/>
  <c r="A392" i="33"/>
  <c r="A391" i="33"/>
  <c r="A390" i="33"/>
  <c r="A389" i="33"/>
  <c r="A388" i="33"/>
  <c r="A387" i="33"/>
  <c r="A386" i="33"/>
  <c r="A385" i="33"/>
  <c r="A384" i="33"/>
  <c r="A383" i="33"/>
  <c r="A382" i="33"/>
  <c r="A381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60" i="33"/>
  <c r="A359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5" i="33"/>
  <c r="A344" i="33"/>
  <c r="A343" i="33"/>
  <c r="A342" i="33"/>
  <c r="A341" i="33"/>
  <c r="A340" i="33"/>
  <c r="A339" i="33"/>
  <c r="A338" i="33"/>
  <c r="A337" i="33"/>
  <c r="A336" i="33"/>
  <c r="A335" i="33"/>
  <c r="A334" i="33"/>
  <c r="A333" i="33"/>
  <c r="A332" i="33"/>
  <c r="A331" i="33"/>
  <c r="A330" i="33"/>
  <c r="A329" i="33"/>
  <c r="A328" i="33"/>
  <c r="A327" i="33"/>
  <c r="A326" i="33"/>
  <c r="A325" i="33"/>
  <c r="A324" i="33"/>
  <c r="A323" i="33"/>
  <c r="A322" i="33"/>
  <c r="A321" i="33"/>
  <c r="A320" i="33"/>
  <c r="A319" i="33"/>
  <c r="A318" i="33"/>
  <c r="A317" i="33"/>
  <c r="A316" i="33"/>
  <c r="A315" i="33"/>
  <c r="A314" i="33"/>
  <c r="A313" i="33"/>
  <c r="A312" i="33"/>
  <c r="A311" i="33"/>
  <c r="A310" i="33"/>
  <c r="A309" i="33"/>
  <c r="A308" i="33"/>
  <c r="A307" i="33"/>
  <c r="A306" i="33"/>
  <c r="A305" i="33"/>
  <c r="A304" i="33"/>
  <c r="A303" i="33"/>
  <c r="A302" i="33"/>
  <c r="A301" i="33"/>
  <c r="A300" i="33"/>
  <c r="A299" i="33"/>
  <c r="A298" i="33"/>
  <c r="A297" i="33"/>
  <c r="A296" i="33"/>
  <c r="A295" i="33"/>
  <c r="A294" i="33"/>
  <c r="A293" i="33"/>
  <c r="A292" i="33"/>
  <c r="A291" i="33"/>
  <c r="A290" i="33"/>
  <c r="A289" i="33"/>
  <c r="A288" i="33"/>
  <c r="A287" i="33"/>
  <c r="A286" i="33"/>
  <c r="A285" i="33"/>
  <c r="A284" i="33"/>
  <c r="A283" i="33"/>
  <c r="A282" i="33"/>
  <c r="A281" i="33"/>
  <c r="A280" i="33"/>
  <c r="A279" i="33"/>
  <c r="A278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4" i="33"/>
  <c r="A213" i="33"/>
  <c r="A212" i="33"/>
  <c r="A211" i="33"/>
  <c r="A210" i="33"/>
  <c r="A209" i="33"/>
  <c r="A208" i="33"/>
  <c r="A207" i="33"/>
  <c r="A206" i="33"/>
  <c r="A205" i="33"/>
  <c r="A204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6" i="33"/>
  <c r="A175" i="33"/>
  <c r="A174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8" i="33"/>
  <c r="A157" i="33"/>
  <c r="A156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9" i="33"/>
  <c r="A118" i="33"/>
  <c r="A117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436" i="32"/>
  <c r="A435" i="32"/>
  <c r="A434" i="32"/>
  <c r="A433" i="32"/>
  <c r="A432" i="32"/>
  <c r="A431" i="32"/>
  <c r="A430" i="32"/>
  <c r="A429" i="32"/>
  <c r="A428" i="32"/>
  <c r="A427" i="32"/>
  <c r="A426" i="32"/>
  <c r="A425" i="32"/>
  <c r="A424" i="32"/>
  <c r="A423" i="32"/>
  <c r="A422" i="32"/>
  <c r="A421" i="32"/>
  <c r="A420" i="32"/>
  <c r="A419" i="32"/>
  <c r="A418" i="32"/>
  <c r="A417" i="32"/>
  <c r="A416" i="32"/>
  <c r="A415" i="32"/>
  <c r="A414" i="32"/>
  <c r="A413" i="32"/>
  <c r="A412" i="32"/>
  <c r="A411" i="32"/>
  <c r="A410" i="32"/>
  <c r="A409" i="32"/>
  <c r="A408" i="32"/>
  <c r="A407" i="32"/>
  <c r="A406" i="32"/>
  <c r="A405" i="32"/>
  <c r="A404" i="32"/>
  <c r="A403" i="32"/>
  <c r="A402" i="32"/>
  <c r="A401" i="32"/>
  <c r="A400" i="32"/>
  <c r="A399" i="32"/>
  <c r="A398" i="32"/>
  <c r="A397" i="32"/>
  <c r="A396" i="32"/>
  <c r="A395" i="32"/>
  <c r="A394" i="32"/>
  <c r="A393" i="32"/>
  <c r="A392" i="32"/>
  <c r="A391" i="32"/>
  <c r="A390" i="32"/>
  <c r="A389" i="32"/>
  <c r="A388" i="32"/>
  <c r="A387" i="32"/>
  <c r="A386" i="32"/>
  <c r="A385" i="32"/>
  <c r="A384" i="32"/>
  <c r="A383" i="32"/>
  <c r="A382" i="32"/>
  <c r="A381" i="32"/>
  <c r="A380" i="32"/>
  <c r="A379" i="32"/>
  <c r="A378" i="32"/>
  <c r="A377" i="32"/>
  <c r="A376" i="32"/>
  <c r="A375" i="32"/>
  <c r="A374" i="32"/>
  <c r="A373" i="32"/>
  <c r="A372" i="32"/>
  <c r="A371" i="32"/>
  <c r="A370" i="32"/>
  <c r="A369" i="32"/>
  <c r="A368" i="32"/>
  <c r="A367" i="32"/>
  <c r="A366" i="32"/>
  <c r="A365" i="32"/>
  <c r="A364" i="32"/>
  <c r="A363" i="32"/>
  <c r="A362" i="32"/>
  <c r="A361" i="32"/>
  <c r="A360" i="32"/>
  <c r="A359" i="32"/>
  <c r="A358" i="32"/>
  <c r="A357" i="32"/>
  <c r="A356" i="32"/>
  <c r="A355" i="32"/>
  <c r="A354" i="32"/>
  <c r="A353" i="32"/>
  <c r="A352" i="32"/>
  <c r="A351" i="32"/>
  <c r="A350" i="32"/>
  <c r="A349" i="32"/>
  <c r="A348" i="32"/>
  <c r="A347" i="32"/>
  <c r="A346" i="32"/>
  <c r="A345" i="32"/>
  <c r="A344" i="32"/>
  <c r="A343" i="32"/>
  <c r="A342" i="32"/>
  <c r="A341" i="32"/>
  <c r="A340" i="32"/>
  <c r="A339" i="32"/>
  <c r="A338" i="32"/>
  <c r="A337" i="32"/>
  <c r="A336" i="32"/>
  <c r="A335" i="32"/>
  <c r="A334" i="32"/>
  <c r="A333" i="32"/>
  <c r="A332" i="32"/>
  <c r="A331" i="32"/>
  <c r="A330" i="32"/>
  <c r="A329" i="32"/>
  <c r="A328" i="32"/>
  <c r="A327" i="32"/>
  <c r="A326" i="32"/>
  <c r="A325" i="32"/>
  <c r="A324" i="32"/>
  <c r="A323" i="32"/>
  <c r="A322" i="32"/>
  <c r="A321" i="32"/>
  <c r="A320" i="32"/>
  <c r="A319" i="32"/>
  <c r="A318" i="32"/>
  <c r="A317" i="32"/>
  <c r="A316" i="32"/>
  <c r="A315" i="32"/>
  <c r="A314" i="32"/>
  <c r="A313" i="32"/>
  <c r="A312" i="32"/>
  <c r="A311" i="32"/>
  <c r="A310" i="32"/>
  <c r="A309" i="32"/>
  <c r="A308" i="32"/>
  <c r="A307" i="32"/>
  <c r="A306" i="32"/>
  <c r="A305" i="32"/>
  <c r="A304" i="32"/>
  <c r="A303" i="32"/>
  <c r="A302" i="32"/>
  <c r="A301" i="32"/>
  <c r="A300" i="32"/>
  <c r="A299" i="32"/>
  <c r="A298" i="32"/>
  <c r="A297" i="32"/>
  <c r="A296" i="32"/>
  <c r="A295" i="32"/>
  <c r="A294" i="32"/>
  <c r="A293" i="32"/>
  <c r="A292" i="32"/>
  <c r="A291" i="32"/>
  <c r="A290" i="32"/>
  <c r="A289" i="32"/>
  <c r="A288" i="32"/>
  <c r="A287" i="32"/>
  <c r="A286" i="32"/>
  <c r="A285" i="32"/>
  <c r="A284" i="32"/>
  <c r="A283" i="32"/>
  <c r="A282" i="32"/>
  <c r="A281" i="32"/>
  <c r="A280" i="32"/>
  <c r="A279" i="32"/>
  <c r="A278" i="32"/>
  <c r="A277" i="32"/>
  <c r="A276" i="32"/>
  <c r="A275" i="32"/>
  <c r="A274" i="32"/>
  <c r="A273" i="32"/>
  <c r="A272" i="32"/>
  <c r="A271" i="32"/>
  <c r="A270" i="32"/>
  <c r="A269" i="32"/>
  <c r="A268" i="32"/>
  <c r="A267" i="32"/>
  <c r="A266" i="32"/>
  <c r="A265" i="32"/>
  <c r="A264" i="32"/>
  <c r="A263" i="32"/>
  <c r="A262" i="32"/>
  <c r="A261" i="32"/>
  <c r="A260" i="32"/>
  <c r="A259" i="32"/>
  <c r="A258" i="32"/>
  <c r="A257" i="32"/>
  <c r="A256" i="32"/>
  <c r="A255" i="32"/>
  <c r="A254" i="32"/>
  <c r="A253" i="32"/>
  <c r="A252" i="32"/>
  <c r="A251" i="32"/>
  <c r="A250" i="32"/>
  <c r="A249" i="32"/>
  <c r="A248" i="32"/>
  <c r="A247" i="32"/>
  <c r="A246" i="32"/>
  <c r="A245" i="32"/>
  <c r="A244" i="32"/>
  <c r="A243" i="32"/>
  <c r="A242" i="32"/>
  <c r="A241" i="32"/>
  <c r="A240" i="32"/>
  <c r="A239" i="32"/>
  <c r="A238" i="32"/>
  <c r="A237" i="32"/>
  <c r="A236" i="32"/>
  <c r="A235" i="32"/>
  <c r="A234" i="32"/>
  <c r="A233" i="32"/>
  <c r="A232" i="32"/>
  <c r="A231" i="32"/>
  <c r="A230" i="32"/>
  <c r="A229" i="32"/>
  <c r="A228" i="32"/>
  <c r="A227" i="32"/>
  <c r="A226" i="32"/>
  <c r="A225" i="32"/>
  <c r="A224" i="32"/>
  <c r="A223" i="32"/>
  <c r="A222" i="32"/>
  <c r="A221" i="32"/>
  <c r="A220" i="32"/>
  <c r="A219" i="32"/>
  <c r="A218" i="32"/>
  <c r="A217" i="32"/>
  <c r="A216" i="32"/>
  <c r="A215" i="32"/>
  <c r="A214" i="32"/>
  <c r="A213" i="32"/>
  <c r="A212" i="32"/>
  <c r="A211" i="32"/>
  <c r="A210" i="32"/>
  <c r="A209" i="32"/>
  <c r="A208" i="32"/>
  <c r="A207" i="32"/>
  <c r="A206" i="32"/>
  <c r="A205" i="32"/>
  <c r="A204" i="32"/>
  <c r="A203" i="32"/>
  <c r="A202" i="32"/>
  <c r="A201" i="32"/>
  <c r="A200" i="32"/>
  <c r="A199" i="32"/>
  <c r="A198" i="32"/>
  <c r="A197" i="32"/>
  <c r="A196" i="32"/>
  <c r="A195" i="32"/>
  <c r="A194" i="32"/>
  <c r="A193" i="32"/>
  <c r="A192" i="32"/>
  <c r="A191" i="32"/>
  <c r="A190" i="32"/>
  <c r="A189" i="32"/>
  <c r="A188" i="32"/>
  <c r="A187" i="32"/>
  <c r="A186" i="32"/>
  <c r="A185" i="32"/>
  <c r="A184" i="32"/>
  <c r="A183" i="32"/>
  <c r="A182" i="32"/>
  <c r="A181" i="32"/>
  <c r="A180" i="32"/>
  <c r="A179" i="32"/>
  <c r="A178" i="32"/>
  <c r="A177" i="32"/>
  <c r="A176" i="32"/>
  <c r="A175" i="32"/>
  <c r="A174" i="32"/>
  <c r="A173" i="32"/>
  <c r="A172" i="32"/>
  <c r="A171" i="32"/>
  <c r="A170" i="32"/>
  <c r="A169" i="32"/>
  <c r="A168" i="32"/>
  <c r="A167" i="32"/>
  <c r="A166" i="32"/>
  <c r="A165" i="32"/>
  <c r="A164" i="32"/>
  <c r="A163" i="32"/>
  <c r="A162" i="32"/>
  <c r="A161" i="32"/>
  <c r="A160" i="32"/>
  <c r="A159" i="32"/>
  <c r="A158" i="32"/>
  <c r="A157" i="32"/>
  <c r="A156" i="32"/>
  <c r="A155" i="32"/>
  <c r="A154" i="32"/>
  <c r="A153" i="32"/>
  <c r="A152" i="32"/>
  <c r="A151" i="32"/>
  <c r="A150" i="32"/>
  <c r="A149" i="32"/>
  <c r="A148" i="32"/>
  <c r="A147" i="32"/>
  <c r="A146" i="32"/>
  <c r="A145" i="32"/>
  <c r="A144" i="32"/>
  <c r="A143" i="32"/>
  <c r="A142" i="32"/>
  <c r="A141" i="32"/>
  <c r="A140" i="32"/>
  <c r="A139" i="32"/>
  <c r="A138" i="32"/>
  <c r="A137" i="32"/>
  <c r="A136" i="32"/>
  <c r="A135" i="32"/>
  <c r="A134" i="32"/>
  <c r="A133" i="32"/>
  <c r="A132" i="32"/>
  <c r="A131" i="32"/>
  <c r="A130" i="32"/>
  <c r="A129" i="32"/>
  <c r="A128" i="32"/>
  <c r="A127" i="32"/>
  <c r="A126" i="32"/>
  <c r="A125" i="32"/>
  <c r="A124" i="32"/>
  <c r="A123" i="32"/>
  <c r="A122" i="32"/>
  <c r="A121" i="32"/>
  <c r="A120" i="32"/>
  <c r="A119" i="32"/>
  <c r="A118" i="32"/>
  <c r="A117" i="32"/>
  <c r="A116" i="32"/>
  <c r="A115" i="32"/>
  <c r="A114" i="32"/>
  <c r="A113" i="32"/>
  <c r="A112" i="32"/>
  <c r="A111" i="32"/>
  <c r="A110" i="32"/>
  <c r="A109" i="32"/>
  <c r="A108" i="32"/>
  <c r="A107" i="32"/>
  <c r="A106" i="32"/>
  <c r="A105" i="32"/>
  <c r="A104" i="32"/>
  <c r="A103" i="32"/>
  <c r="A102" i="32"/>
  <c r="A101" i="32"/>
  <c r="A100" i="32"/>
  <c r="A99" i="32"/>
  <c r="A98" i="32"/>
  <c r="A97" i="32"/>
  <c r="A96" i="32"/>
  <c r="A95" i="32"/>
  <c r="A94" i="32"/>
  <c r="A93" i="32"/>
  <c r="A92" i="32"/>
  <c r="A91" i="32"/>
  <c r="A90" i="32"/>
  <c r="A89" i="32"/>
  <c r="A88" i="32"/>
  <c r="A87" i="32"/>
  <c r="A86" i="32"/>
  <c r="A85" i="32"/>
  <c r="A84" i="32"/>
  <c r="A83" i="32"/>
  <c r="A82" i="32"/>
  <c r="A81" i="32"/>
  <c r="A80" i="32"/>
  <c r="A79" i="32"/>
  <c r="A78" i="32"/>
  <c r="A77" i="32"/>
  <c r="A76" i="32"/>
  <c r="A75" i="32"/>
  <c r="A74" i="32"/>
  <c r="A73" i="32"/>
  <c r="A72" i="32"/>
  <c r="A71" i="32"/>
  <c r="A70" i="32"/>
  <c r="A69" i="32"/>
  <c r="A68" i="32"/>
  <c r="A67" i="32"/>
  <c r="A66" i="32"/>
  <c r="A65" i="32"/>
  <c r="A64" i="32"/>
  <c r="A63" i="32"/>
  <c r="A62" i="32"/>
  <c r="A61" i="32"/>
  <c r="A60" i="32"/>
  <c r="A59" i="32"/>
  <c r="A58" i="32"/>
  <c r="A57" i="32"/>
  <c r="A56" i="32"/>
  <c r="A5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25" i="32"/>
  <c r="A24" i="32"/>
  <c r="A23" i="32"/>
  <c r="A22" i="32"/>
  <c r="A21" i="32"/>
  <c r="A20" i="32"/>
  <c r="A19" i="32"/>
  <c r="A18" i="32"/>
  <c r="A17" i="32"/>
  <c r="A16" i="32"/>
  <c r="A15" i="32"/>
  <c r="A14" i="32"/>
  <c r="A13" i="32"/>
  <c r="A12" i="32"/>
  <c r="A11" i="32"/>
  <c r="A10" i="32"/>
  <c r="A9" i="32"/>
  <c r="A8" i="32"/>
  <c r="A7" i="32"/>
  <c r="A6" i="32"/>
  <c r="A5" i="32"/>
  <c r="A4" i="32"/>
  <c r="A3" i="32"/>
  <c r="A436" i="31"/>
  <c r="A435" i="31"/>
  <c r="A434" i="31"/>
  <c r="A433" i="31"/>
  <c r="A432" i="31"/>
  <c r="A431" i="31"/>
  <c r="A430" i="31"/>
  <c r="A429" i="31"/>
  <c r="A428" i="31"/>
  <c r="A427" i="31"/>
  <c r="A426" i="31"/>
  <c r="A425" i="31"/>
  <c r="A424" i="31"/>
  <c r="A423" i="31"/>
  <c r="A422" i="31"/>
  <c r="A421" i="31"/>
  <c r="A420" i="31"/>
  <c r="A419" i="31"/>
  <c r="A418" i="31"/>
  <c r="A417" i="31"/>
  <c r="A416" i="31"/>
  <c r="A415" i="31"/>
  <c r="A414" i="31"/>
  <c r="A413" i="31"/>
  <c r="A412" i="31"/>
  <c r="A411" i="31"/>
  <c r="A410" i="31"/>
  <c r="A409" i="31"/>
  <c r="A408" i="31"/>
  <c r="A407" i="31"/>
  <c r="A406" i="31"/>
  <c r="A405" i="31"/>
  <c r="A404" i="31"/>
  <c r="A403" i="31"/>
  <c r="A402" i="31"/>
  <c r="A401" i="31"/>
  <c r="A400" i="31"/>
  <c r="A399" i="31"/>
  <c r="A398" i="31"/>
  <c r="A397" i="31"/>
  <c r="A396" i="31"/>
  <c r="A395" i="31"/>
  <c r="A394" i="31"/>
  <c r="A393" i="31"/>
  <c r="A392" i="31"/>
  <c r="A391" i="31"/>
  <c r="A390" i="31"/>
  <c r="A389" i="31"/>
  <c r="A388" i="31"/>
  <c r="A387" i="31"/>
  <c r="A386" i="31"/>
  <c r="A385" i="31"/>
  <c r="A384" i="31"/>
  <c r="A383" i="31"/>
  <c r="A382" i="31"/>
  <c r="A381" i="31"/>
  <c r="A380" i="31"/>
  <c r="A379" i="31"/>
  <c r="A378" i="31"/>
  <c r="A377" i="31"/>
  <c r="A376" i="31"/>
  <c r="A375" i="31"/>
  <c r="A374" i="31"/>
  <c r="A373" i="31"/>
  <c r="A372" i="31"/>
  <c r="A371" i="31"/>
  <c r="A370" i="31"/>
  <c r="A369" i="31"/>
  <c r="A368" i="31"/>
  <c r="A367" i="31"/>
  <c r="A366" i="31"/>
  <c r="A365" i="31"/>
  <c r="A364" i="31"/>
  <c r="A363" i="31"/>
  <c r="A362" i="31"/>
  <c r="A361" i="31"/>
  <c r="A360" i="31"/>
  <c r="A359" i="31"/>
  <c r="A358" i="31"/>
  <c r="A357" i="31"/>
  <c r="A356" i="31"/>
  <c r="A355" i="31"/>
  <c r="A354" i="31"/>
  <c r="A353" i="31"/>
  <c r="A352" i="31"/>
  <c r="A351" i="31"/>
  <c r="A350" i="31"/>
  <c r="A349" i="31"/>
  <c r="A348" i="31"/>
  <c r="A347" i="31"/>
  <c r="A346" i="31"/>
  <c r="A345" i="31"/>
  <c r="A344" i="31"/>
  <c r="A343" i="31"/>
  <c r="A342" i="31"/>
  <c r="A341" i="31"/>
  <c r="A340" i="31"/>
  <c r="A339" i="31"/>
  <c r="A338" i="31"/>
  <c r="A337" i="31"/>
  <c r="A336" i="31"/>
  <c r="A335" i="31"/>
  <c r="A334" i="31"/>
  <c r="A333" i="31"/>
  <c r="A332" i="31"/>
  <c r="A331" i="31"/>
  <c r="A330" i="31"/>
  <c r="A329" i="31"/>
  <c r="A328" i="31"/>
  <c r="A327" i="31"/>
  <c r="A326" i="31"/>
  <c r="A325" i="31"/>
  <c r="A324" i="31"/>
  <c r="A323" i="31"/>
  <c r="A322" i="31"/>
  <c r="A321" i="31"/>
  <c r="A320" i="31"/>
  <c r="A319" i="31"/>
  <c r="A318" i="31"/>
  <c r="A317" i="31"/>
  <c r="A316" i="31"/>
  <c r="A315" i="31"/>
  <c r="A314" i="31"/>
  <c r="A313" i="31"/>
  <c r="A312" i="31"/>
  <c r="A311" i="31"/>
  <c r="A310" i="31"/>
  <c r="A309" i="31"/>
  <c r="A308" i="31"/>
  <c r="A307" i="31"/>
  <c r="A306" i="31"/>
  <c r="A305" i="31"/>
  <c r="A304" i="31"/>
  <c r="A303" i="31"/>
  <c r="A302" i="31"/>
  <c r="A301" i="31"/>
  <c r="A300" i="31"/>
  <c r="A299" i="31"/>
  <c r="A298" i="31"/>
  <c r="A297" i="31"/>
  <c r="A296" i="31"/>
  <c r="A295" i="31"/>
  <c r="A294" i="31"/>
  <c r="A293" i="31"/>
  <c r="A292" i="31"/>
  <c r="A291" i="31"/>
  <c r="A290" i="31"/>
  <c r="A289" i="31"/>
  <c r="A288" i="31"/>
  <c r="A287" i="31"/>
  <c r="A286" i="31"/>
  <c r="A285" i="31"/>
  <c r="A284" i="31"/>
  <c r="A283" i="31"/>
  <c r="A282" i="31"/>
  <c r="A281" i="31"/>
  <c r="A280" i="31"/>
  <c r="A279" i="31"/>
  <c r="A278" i="31"/>
  <c r="A277" i="31"/>
  <c r="A276" i="31"/>
  <c r="A275" i="31"/>
  <c r="A274" i="31"/>
  <c r="A273" i="31"/>
  <c r="A272" i="31"/>
  <c r="A271" i="31"/>
  <c r="A270" i="31"/>
  <c r="A269" i="31"/>
  <c r="A268" i="31"/>
  <c r="A267" i="31"/>
  <c r="A266" i="31"/>
  <c r="A265" i="31"/>
  <c r="A264" i="31"/>
  <c r="A263" i="31"/>
  <c r="A262" i="31"/>
  <c r="A261" i="31"/>
  <c r="A260" i="31"/>
  <c r="A259" i="31"/>
  <c r="A258" i="31"/>
  <c r="A257" i="31"/>
  <c r="A256" i="31"/>
  <c r="A255" i="31"/>
  <c r="A254" i="31"/>
  <c r="A253" i="31"/>
  <c r="A252" i="31"/>
  <c r="A251" i="31"/>
  <c r="A250" i="31"/>
  <c r="A249" i="31"/>
  <c r="A248" i="31"/>
  <c r="A247" i="31"/>
  <c r="A246" i="31"/>
  <c r="A245" i="31"/>
  <c r="A244" i="31"/>
  <c r="A243" i="31"/>
  <c r="A242" i="31"/>
  <c r="A241" i="31"/>
  <c r="A240" i="31"/>
  <c r="A239" i="31"/>
  <c r="A238" i="31"/>
  <c r="A237" i="31"/>
  <c r="A236" i="31"/>
  <c r="A235" i="31"/>
  <c r="A234" i="31"/>
  <c r="A233" i="31"/>
  <c r="A232" i="31"/>
  <c r="A231" i="31"/>
  <c r="A230" i="31"/>
  <c r="A229" i="31"/>
  <c r="A228" i="31"/>
  <c r="A227" i="31"/>
  <c r="A226" i="31"/>
  <c r="A225" i="31"/>
  <c r="A224" i="31"/>
  <c r="A223" i="31"/>
  <c r="A222" i="31"/>
  <c r="A221" i="31"/>
  <c r="A220" i="31"/>
  <c r="A219" i="31"/>
  <c r="A218" i="31"/>
  <c r="A217" i="31"/>
  <c r="A216" i="31"/>
  <c r="A215" i="31"/>
  <c r="A214" i="31"/>
  <c r="A213" i="31"/>
  <c r="A212" i="31"/>
  <c r="A211" i="31"/>
  <c r="A210" i="31"/>
  <c r="A209" i="31"/>
  <c r="A208" i="31"/>
  <c r="A207" i="31"/>
  <c r="A206" i="31"/>
  <c r="A205" i="31"/>
  <c r="A204" i="31"/>
  <c r="A203" i="31"/>
  <c r="A202" i="31"/>
  <c r="A201" i="31"/>
  <c r="A200" i="31"/>
  <c r="A199" i="31"/>
  <c r="A198" i="31"/>
  <c r="A197" i="31"/>
  <c r="A196" i="31"/>
  <c r="A195" i="31"/>
  <c r="A194" i="31"/>
  <c r="A193" i="31"/>
  <c r="A192" i="31"/>
  <c r="A191" i="31"/>
  <c r="A190" i="31"/>
  <c r="A189" i="31"/>
  <c r="A188" i="31"/>
  <c r="A187" i="31"/>
  <c r="A186" i="31"/>
  <c r="A185" i="31"/>
  <c r="A184" i="31"/>
  <c r="A183" i="31"/>
  <c r="A182" i="31"/>
  <c r="A181" i="31"/>
  <c r="A180" i="31"/>
  <c r="A179" i="31"/>
  <c r="A178" i="31"/>
  <c r="A177" i="31"/>
  <c r="A176" i="31"/>
  <c r="A175" i="31"/>
  <c r="A174" i="31"/>
  <c r="A173" i="31"/>
  <c r="A172" i="31"/>
  <c r="A171" i="31"/>
  <c r="A170" i="31"/>
  <c r="A169" i="31"/>
  <c r="A168" i="31"/>
  <c r="A167" i="31"/>
  <c r="A166" i="31"/>
  <c r="A165" i="31"/>
  <c r="A164" i="31"/>
  <c r="A163" i="31"/>
  <c r="A162" i="31"/>
  <c r="A161" i="31"/>
  <c r="A160" i="31"/>
  <c r="A159" i="31"/>
  <c r="A158" i="31"/>
  <c r="A157" i="31"/>
  <c r="A156" i="31"/>
  <c r="A155" i="31"/>
  <c r="A154" i="31"/>
  <c r="A153" i="31"/>
  <c r="A152" i="31"/>
  <c r="A151" i="31"/>
  <c r="A150" i="31"/>
  <c r="A149" i="31"/>
  <c r="A148" i="31"/>
  <c r="A147" i="31"/>
  <c r="A146" i="31"/>
  <c r="A145" i="31"/>
  <c r="A144" i="31"/>
  <c r="A143" i="31"/>
  <c r="A142" i="31"/>
  <c r="A141" i="31"/>
  <c r="A140" i="31"/>
  <c r="A139" i="31"/>
  <c r="A138" i="31"/>
  <c r="A137" i="31"/>
  <c r="A136" i="31"/>
  <c r="A135" i="31"/>
  <c r="A134" i="31"/>
  <c r="A133" i="31"/>
  <c r="A132" i="31"/>
  <c r="A131" i="31"/>
  <c r="A130" i="31"/>
  <c r="A129" i="31"/>
  <c r="A128" i="31"/>
  <c r="A127" i="31"/>
  <c r="A126" i="31"/>
  <c r="A125" i="31"/>
  <c r="A124" i="31"/>
  <c r="A123" i="31"/>
  <c r="A122" i="31"/>
  <c r="A121" i="31"/>
  <c r="A120" i="31"/>
  <c r="A119" i="31"/>
  <c r="A118" i="31"/>
  <c r="A117" i="31"/>
  <c r="A116" i="31"/>
  <c r="A115" i="31"/>
  <c r="A114" i="31"/>
  <c r="A113" i="31"/>
  <c r="A112" i="31"/>
  <c r="A111" i="31"/>
  <c r="A110" i="31"/>
  <c r="A109" i="31"/>
  <c r="A108" i="31"/>
  <c r="A107" i="31"/>
  <c r="A106" i="31"/>
  <c r="A105" i="31"/>
  <c r="A104" i="31"/>
  <c r="A103" i="31"/>
  <c r="A102" i="31"/>
  <c r="A101" i="31"/>
  <c r="A100" i="31"/>
  <c r="A99" i="31"/>
  <c r="A98" i="31"/>
  <c r="A97" i="31"/>
  <c r="A96" i="31"/>
  <c r="A95" i="31"/>
  <c r="A94" i="31"/>
  <c r="A93" i="31"/>
  <c r="A92" i="31"/>
  <c r="A91" i="31"/>
  <c r="A90" i="31"/>
  <c r="A89" i="31"/>
  <c r="A88" i="31"/>
  <c r="A87" i="31"/>
  <c r="A86" i="31"/>
  <c r="A85" i="31"/>
  <c r="A84" i="31"/>
  <c r="A83" i="31"/>
  <c r="A82" i="31"/>
  <c r="A81" i="31"/>
  <c r="A80" i="31"/>
  <c r="A79" i="31"/>
  <c r="A78" i="31"/>
  <c r="A77" i="31"/>
  <c r="A76" i="31"/>
  <c r="A75" i="31"/>
  <c r="A74" i="31"/>
  <c r="A73" i="31"/>
  <c r="A72" i="31"/>
  <c r="A71" i="31"/>
  <c r="A70" i="31"/>
  <c r="A69" i="31"/>
  <c r="A68" i="31"/>
  <c r="A67" i="31"/>
  <c r="A66" i="31"/>
  <c r="A65" i="31"/>
  <c r="A64" i="31"/>
  <c r="A63" i="31"/>
  <c r="A62" i="31"/>
  <c r="A61" i="31"/>
  <c r="A60" i="31"/>
  <c r="A59" i="31"/>
  <c r="A58" i="31"/>
  <c r="A57" i="31"/>
  <c r="A56" i="31"/>
  <c r="A55" i="31"/>
  <c r="A54" i="31"/>
  <c r="A53" i="31"/>
  <c r="A52" i="31"/>
  <c r="A51" i="31"/>
  <c r="A50" i="31"/>
  <c r="A49" i="31"/>
  <c r="A48" i="31"/>
  <c r="A47" i="31"/>
  <c r="A46" i="31"/>
  <c r="A45" i="31"/>
  <c r="A44" i="31"/>
  <c r="A43" i="31"/>
  <c r="A42" i="31"/>
  <c r="A41" i="31"/>
  <c r="A40" i="31"/>
  <c r="A39" i="31"/>
  <c r="A38" i="31"/>
  <c r="A37" i="31"/>
  <c r="A36" i="31"/>
  <c r="A35" i="31"/>
  <c r="A34" i="31"/>
  <c r="A33" i="31"/>
  <c r="A32" i="31"/>
  <c r="A31" i="31"/>
  <c r="A30" i="31"/>
  <c r="A29" i="31"/>
  <c r="A28" i="31"/>
  <c r="A27" i="31"/>
  <c r="A26" i="31"/>
  <c r="A25" i="31"/>
  <c r="A24" i="31"/>
  <c r="A23" i="31"/>
  <c r="A22" i="31"/>
  <c r="A21" i="31"/>
  <c r="A20" i="31"/>
  <c r="A19" i="31"/>
  <c r="A18" i="31"/>
  <c r="A17" i="31"/>
  <c r="A16" i="31"/>
  <c r="A15" i="31"/>
  <c r="A14" i="31"/>
  <c r="A13" i="31"/>
  <c r="A12" i="31"/>
  <c r="A11" i="31"/>
  <c r="A10" i="31"/>
  <c r="A9" i="31"/>
  <c r="A8" i="31"/>
  <c r="A7" i="31"/>
  <c r="A6" i="31"/>
  <c r="A5" i="31"/>
  <c r="A4" i="31"/>
  <c r="A3" i="31"/>
  <c r="A436" i="30"/>
  <c r="A435" i="30"/>
  <c r="A434" i="30"/>
  <c r="A433" i="30"/>
  <c r="A432" i="30"/>
  <c r="A431" i="30"/>
  <c r="A430" i="30"/>
  <c r="A429" i="30"/>
  <c r="A428" i="30"/>
  <c r="A427" i="30"/>
  <c r="A426" i="30"/>
  <c r="A425" i="30"/>
  <c r="A424" i="30"/>
  <c r="A423" i="30"/>
  <c r="A422" i="30"/>
  <c r="A421" i="30"/>
  <c r="A420" i="30"/>
  <c r="A419" i="30"/>
  <c r="A418" i="30"/>
  <c r="A417" i="30"/>
  <c r="A416" i="30"/>
  <c r="A415" i="30"/>
  <c r="A414" i="30"/>
  <c r="A413" i="30"/>
  <c r="A412" i="30"/>
  <c r="A411" i="30"/>
  <c r="A410" i="30"/>
  <c r="A409" i="30"/>
  <c r="A408" i="30"/>
  <c r="A407" i="30"/>
  <c r="A406" i="30"/>
  <c r="A405" i="30"/>
  <c r="A404" i="30"/>
  <c r="A403" i="30"/>
  <c r="A402" i="30"/>
  <c r="A401" i="30"/>
  <c r="A400" i="30"/>
  <c r="A399" i="30"/>
  <c r="A398" i="30"/>
  <c r="A397" i="30"/>
  <c r="A396" i="30"/>
  <c r="A395" i="30"/>
  <c r="A394" i="30"/>
  <c r="A393" i="30"/>
  <c r="A392" i="30"/>
  <c r="A391" i="30"/>
  <c r="A390" i="30"/>
  <c r="A389" i="30"/>
  <c r="A388" i="30"/>
  <c r="A387" i="30"/>
  <c r="A386" i="30"/>
  <c r="A385" i="30"/>
  <c r="A384" i="30"/>
  <c r="A383" i="30"/>
  <c r="A382" i="30"/>
  <c r="A381" i="30"/>
  <c r="A380" i="30"/>
  <c r="A379" i="30"/>
  <c r="A378" i="30"/>
  <c r="A377" i="30"/>
  <c r="A376" i="30"/>
  <c r="A375" i="30"/>
  <c r="A374" i="30"/>
  <c r="A373" i="30"/>
  <c r="A372" i="30"/>
  <c r="A371" i="30"/>
  <c r="A370" i="30"/>
  <c r="A369" i="30"/>
  <c r="A368" i="30"/>
  <c r="A367" i="30"/>
  <c r="A366" i="30"/>
  <c r="A365" i="30"/>
  <c r="A364" i="30"/>
  <c r="A363" i="30"/>
  <c r="A362" i="30"/>
  <c r="A361" i="30"/>
  <c r="A360" i="30"/>
  <c r="A359" i="30"/>
  <c r="A358" i="30"/>
  <c r="A357" i="30"/>
  <c r="A356" i="30"/>
  <c r="A355" i="30"/>
  <c r="A354" i="30"/>
  <c r="A353" i="30"/>
  <c r="A352" i="30"/>
  <c r="A351" i="30"/>
  <c r="A350" i="30"/>
  <c r="A349" i="30"/>
  <c r="A348" i="30"/>
  <c r="A347" i="30"/>
  <c r="A346" i="30"/>
  <c r="A345" i="30"/>
  <c r="A344" i="30"/>
  <c r="A343" i="30"/>
  <c r="A342" i="30"/>
  <c r="A341" i="30"/>
  <c r="A340" i="30"/>
  <c r="A339" i="30"/>
  <c r="A338" i="30"/>
  <c r="A337" i="30"/>
  <c r="A336" i="30"/>
  <c r="A335" i="30"/>
  <c r="A334" i="30"/>
  <c r="A333" i="30"/>
  <c r="A332" i="30"/>
  <c r="A331" i="30"/>
  <c r="A330" i="30"/>
  <c r="A329" i="30"/>
  <c r="A328" i="30"/>
  <c r="A327" i="30"/>
  <c r="A326" i="30"/>
  <c r="A325" i="30"/>
  <c r="A324" i="30"/>
  <c r="A323" i="30"/>
  <c r="A322" i="30"/>
  <c r="A321" i="30"/>
  <c r="A320" i="30"/>
  <c r="A319" i="30"/>
  <c r="A318" i="30"/>
  <c r="A317" i="30"/>
  <c r="A316" i="30"/>
  <c r="A315" i="30"/>
  <c r="A314" i="30"/>
  <c r="A313" i="30"/>
  <c r="A312" i="30"/>
  <c r="A311" i="30"/>
  <c r="A310" i="30"/>
  <c r="A309" i="30"/>
  <c r="A308" i="30"/>
  <c r="A307" i="30"/>
  <c r="A306" i="30"/>
  <c r="A305" i="30"/>
  <c r="A304" i="30"/>
  <c r="A303" i="30"/>
  <c r="A302" i="30"/>
  <c r="A301" i="30"/>
  <c r="A300" i="30"/>
  <c r="A299" i="30"/>
  <c r="A298" i="30"/>
  <c r="A297" i="30"/>
  <c r="A296" i="30"/>
  <c r="A295" i="30"/>
  <c r="A294" i="30"/>
  <c r="A293" i="30"/>
  <c r="A292" i="30"/>
  <c r="A291" i="30"/>
  <c r="A290" i="30"/>
  <c r="A289" i="30"/>
  <c r="A288" i="30"/>
  <c r="A287" i="30"/>
  <c r="A286" i="30"/>
  <c r="A285" i="30"/>
  <c r="A284" i="30"/>
  <c r="A283" i="30"/>
  <c r="A282" i="30"/>
  <c r="A281" i="30"/>
  <c r="A280" i="30"/>
  <c r="A279" i="30"/>
  <c r="A278" i="30"/>
  <c r="A277" i="30"/>
  <c r="A276" i="30"/>
  <c r="A275" i="30"/>
  <c r="A274" i="30"/>
  <c r="A273" i="30"/>
  <c r="A272" i="30"/>
  <c r="A271" i="30"/>
  <c r="A270" i="30"/>
  <c r="A269" i="30"/>
  <c r="A268" i="30"/>
  <c r="A267" i="30"/>
  <c r="A266" i="30"/>
  <c r="A265" i="30"/>
  <c r="A264" i="30"/>
  <c r="A263" i="30"/>
  <c r="A262" i="30"/>
  <c r="A261" i="30"/>
  <c r="A260" i="30"/>
  <c r="A259" i="30"/>
  <c r="A258" i="30"/>
  <c r="A257" i="30"/>
  <c r="A256" i="30"/>
  <c r="A255" i="30"/>
  <c r="A254" i="30"/>
  <c r="A253" i="30"/>
  <c r="A252" i="30"/>
  <c r="A251" i="30"/>
  <c r="A250" i="30"/>
  <c r="A249" i="30"/>
  <c r="A248" i="30"/>
  <c r="A247" i="30"/>
  <c r="A246" i="30"/>
  <c r="A245" i="30"/>
  <c r="A244" i="30"/>
  <c r="A243" i="30"/>
  <c r="A242" i="30"/>
  <c r="A241" i="30"/>
  <c r="A240" i="30"/>
  <c r="A239" i="30"/>
  <c r="A238" i="30"/>
  <c r="A237" i="30"/>
  <c r="A236" i="30"/>
  <c r="A235" i="30"/>
  <c r="A234" i="30"/>
  <c r="A233" i="30"/>
  <c r="A232" i="30"/>
  <c r="A231" i="30"/>
  <c r="A230" i="30"/>
  <c r="A229" i="30"/>
  <c r="A228" i="30"/>
  <c r="A227" i="30"/>
  <c r="A226" i="30"/>
  <c r="A225" i="30"/>
  <c r="A224" i="30"/>
  <c r="A223" i="30"/>
  <c r="A222" i="30"/>
  <c r="A221" i="30"/>
  <c r="A220" i="30"/>
  <c r="A219" i="30"/>
  <c r="A218" i="30"/>
  <c r="A217" i="30"/>
  <c r="A216" i="30"/>
  <c r="A215" i="30"/>
  <c r="A214" i="30"/>
  <c r="A213" i="30"/>
  <c r="A212" i="30"/>
  <c r="A211" i="30"/>
  <c r="A210" i="30"/>
  <c r="A209" i="30"/>
  <c r="A208" i="30"/>
  <c r="A207" i="30"/>
  <c r="A206" i="30"/>
  <c r="A205" i="30"/>
  <c r="A204" i="30"/>
  <c r="A203" i="30"/>
  <c r="A202" i="30"/>
  <c r="A201" i="30"/>
  <c r="A200" i="30"/>
  <c r="A199" i="30"/>
  <c r="A198" i="30"/>
  <c r="A197" i="30"/>
  <c r="A196" i="30"/>
  <c r="A195" i="30"/>
  <c r="A194" i="30"/>
  <c r="A193" i="30"/>
  <c r="A192" i="30"/>
  <c r="A191" i="30"/>
  <c r="A190" i="30"/>
  <c r="A189" i="30"/>
  <c r="A188" i="30"/>
  <c r="A187" i="30"/>
  <c r="A186" i="30"/>
  <c r="A185" i="30"/>
  <c r="A184" i="30"/>
  <c r="A183" i="30"/>
  <c r="A182" i="30"/>
  <c r="A181" i="30"/>
  <c r="A180" i="30"/>
  <c r="A179" i="30"/>
  <c r="A178" i="30"/>
  <c r="A177" i="30"/>
  <c r="A176" i="30"/>
  <c r="A175" i="30"/>
  <c r="A174" i="30"/>
  <c r="A173" i="30"/>
  <c r="A172" i="30"/>
  <c r="A171" i="30"/>
  <c r="A170" i="30"/>
  <c r="A169" i="30"/>
  <c r="A168" i="30"/>
  <c r="A167" i="30"/>
  <c r="A166" i="30"/>
  <c r="A165" i="30"/>
  <c r="A164" i="30"/>
  <c r="A163" i="30"/>
  <c r="A162" i="30"/>
  <c r="A161" i="30"/>
  <c r="A160" i="30"/>
  <c r="A159" i="30"/>
  <c r="A158" i="30"/>
  <c r="A157" i="30"/>
  <c r="A156" i="30"/>
  <c r="A155" i="30"/>
  <c r="A154" i="30"/>
  <c r="A153" i="30"/>
  <c r="A152" i="30"/>
  <c r="A151" i="30"/>
  <c r="A150" i="30"/>
  <c r="A149" i="30"/>
  <c r="A148" i="30"/>
  <c r="A147" i="30"/>
  <c r="A146" i="30"/>
  <c r="A145" i="30"/>
  <c r="A144" i="30"/>
  <c r="A143" i="30"/>
  <c r="A142" i="30"/>
  <c r="A141" i="30"/>
  <c r="A140" i="30"/>
  <c r="A139" i="30"/>
  <c r="A138" i="30"/>
  <c r="A137" i="30"/>
  <c r="A136" i="30"/>
  <c r="A135" i="30"/>
  <c r="A134" i="30"/>
  <c r="A133" i="30"/>
  <c r="A132" i="30"/>
  <c r="A131" i="30"/>
  <c r="A130" i="30"/>
  <c r="A129" i="30"/>
  <c r="A128" i="30"/>
  <c r="A127" i="30"/>
  <c r="A126" i="30"/>
  <c r="A125" i="30"/>
  <c r="A124" i="30"/>
  <c r="A123" i="30"/>
  <c r="A122" i="30"/>
  <c r="A121" i="30"/>
  <c r="A120" i="30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436" i="29"/>
  <c r="A435" i="29"/>
  <c r="A434" i="29"/>
  <c r="A433" i="29"/>
  <c r="A432" i="29"/>
  <c r="A431" i="29"/>
  <c r="A430" i="29"/>
  <c r="A429" i="29"/>
  <c r="A428" i="29"/>
  <c r="A427" i="29"/>
  <c r="A426" i="29"/>
  <c r="A425" i="29"/>
  <c r="A424" i="29"/>
  <c r="A423" i="29"/>
  <c r="A422" i="29"/>
  <c r="A421" i="29"/>
  <c r="A420" i="29"/>
  <c r="A419" i="29"/>
  <c r="A418" i="29"/>
  <c r="A417" i="29"/>
  <c r="A416" i="29"/>
  <c r="A415" i="29"/>
  <c r="A414" i="29"/>
  <c r="A413" i="29"/>
  <c r="A412" i="29"/>
  <c r="A411" i="29"/>
  <c r="A410" i="29"/>
  <c r="A409" i="29"/>
  <c r="A408" i="29"/>
  <c r="A407" i="29"/>
  <c r="A406" i="29"/>
  <c r="A405" i="29"/>
  <c r="A404" i="29"/>
  <c r="A403" i="29"/>
  <c r="A402" i="29"/>
  <c r="A401" i="29"/>
  <c r="A400" i="29"/>
  <c r="A399" i="29"/>
  <c r="A398" i="29"/>
  <c r="A397" i="29"/>
  <c r="A396" i="29"/>
  <c r="A395" i="29"/>
  <c r="A394" i="29"/>
  <c r="A393" i="29"/>
  <c r="A392" i="29"/>
  <c r="A391" i="29"/>
  <c r="A390" i="29"/>
  <c r="A389" i="29"/>
  <c r="A388" i="29"/>
  <c r="A387" i="29"/>
  <c r="A386" i="29"/>
  <c r="A385" i="29"/>
  <c r="A384" i="29"/>
  <c r="A383" i="29"/>
  <c r="A382" i="29"/>
  <c r="A381" i="29"/>
  <c r="A380" i="29"/>
  <c r="A379" i="29"/>
  <c r="A378" i="29"/>
  <c r="A377" i="29"/>
  <c r="A376" i="29"/>
  <c r="A375" i="29"/>
  <c r="A374" i="29"/>
  <c r="A373" i="29"/>
  <c r="A372" i="29"/>
  <c r="A371" i="29"/>
  <c r="A370" i="29"/>
  <c r="A369" i="29"/>
  <c r="A368" i="29"/>
  <c r="A367" i="29"/>
  <c r="A366" i="29"/>
  <c r="A365" i="29"/>
  <c r="A364" i="29"/>
  <c r="A363" i="29"/>
  <c r="A362" i="29"/>
  <c r="A361" i="29"/>
  <c r="A360" i="29"/>
  <c r="A359" i="29"/>
  <c r="A358" i="29"/>
  <c r="A357" i="29"/>
  <c r="A356" i="29"/>
  <c r="A355" i="29"/>
  <c r="A354" i="29"/>
  <c r="A353" i="29"/>
  <c r="A352" i="29"/>
  <c r="A351" i="29"/>
  <c r="A350" i="29"/>
  <c r="A349" i="29"/>
  <c r="A348" i="29"/>
  <c r="A347" i="29"/>
  <c r="A346" i="29"/>
  <c r="A345" i="29"/>
  <c r="A344" i="29"/>
  <c r="A343" i="29"/>
  <c r="A342" i="29"/>
  <c r="A341" i="29"/>
  <c r="A340" i="29"/>
  <c r="A339" i="29"/>
  <c r="A338" i="29"/>
  <c r="A337" i="29"/>
  <c r="A336" i="29"/>
  <c r="A335" i="29"/>
  <c r="A334" i="29"/>
  <c r="A333" i="29"/>
  <c r="A332" i="29"/>
  <c r="A331" i="29"/>
  <c r="A330" i="29"/>
  <c r="A329" i="29"/>
  <c r="A328" i="29"/>
  <c r="A327" i="29"/>
  <c r="A326" i="29"/>
  <c r="A325" i="29"/>
  <c r="A324" i="29"/>
  <c r="A323" i="29"/>
  <c r="A322" i="29"/>
  <c r="A321" i="29"/>
  <c r="A320" i="29"/>
  <c r="A319" i="29"/>
  <c r="A318" i="29"/>
  <c r="A317" i="29"/>
  <c r="A316" i="29"/>
  <c r="A315" i="29"/>
  <c r="A314" i="29"/>
  <c r="A313" i="29"/>
  <c r="A312" i="29"/>
  <c r="A311" i="29"/>
  <c r="A310" i="29"/>
  <c r="A309" i="29"/>
  <c r="A308" i="29"/>
  <c r="A307" i="29"/>
  <c r="A306" i="29"/>
  <c r="A305" i="29"/>
  <c r="A304" i="29"/>
  <c r="A303" i="29"/>
  <c r="A302" i="29"/>
  <c r="A301" i="29"/>
  <c r="A300" i="29"/>
  <c r="A299" i="29"/>
  <c r="A298" i="29"/>
  <c r="A297" i="29"/>
  <c r="A296" i="29"/>
  <c r="A295" i="29"/>
  <c r="A294" i="29"/>
  <c r="A293" i="29"/>
  <c r="A292" i="29"/>
  <c r="A291" i="29"/>
  <c r="A290" i="29"/>
  <c r="A289" i="29"/>
  <c r="A288" i="29"/>
  <c r="A287" i="29"/>
  <c r="A286" i="29"/>
  <c r="A285" i="29"/>
  <c r="A284" i="29"/>
  <c r="A283" i="29"/>
  <c r="A282" i="29"/>
  <c r="A281" i="29"/>
  <c r="A280" i="29"/>
  <c r="A279" i="29"/>
  <c r="A278" i="29"/>
  <c r="A277" i="29"/>
  <c r="A276" i="29"/>
  <c r="A275" i="29"/>
  <c r="A274" i="29"/>
  <c r="A273" i="29"/>
  <c r="A272" i="29"/>
  <c r="A271" i="29"/>
  <c r="A270" i="29"/>
  <c r="A269" i="29"/>
  <c r="A268" i="29"/>
  <c r="A267" i="29"/>
  <c r="A266" i="29"/>
  <c r="A265" i="29"/>
  <c r="A264" i="29"/>
  <c r="A263" i="29"/>
  <c r="A262" i="29"/>
  <c r="A261" i="29"/>
  <c r="A260" i="29"/>
  <c r="A259" i="29"/>
  <c r="A258" i="29"/>
  <c r="A257" i="29"/>
  <c r="A256" i="29"/>
  <c r="A255" i="29"/>
  <c r="A254" i="29"/>
  <c r="A253" i="29"/>
  <c r="A252" i="29"/>
  <c r="A251" i="29"/>
  <c r="A250" i="29"/>
  <c r="A249" i="29"/>
  <c r="A248" i="29"/>
  <c r="A247" i="29"/>
  <c r="A246" i="29"/>
  <c r="A245" i="29"/>
  <c r="A244" i="29"/>
  <c r="A243" i="29"/>
  <c r="A242" i="29"/>
  <c r="A241" i="29"/>
  <c r="A240" i="29"/>
  <c r="A239" i="29"/>
  <c r="A238" i="29"/>
  <c r="A237" i="29"/>
  <c r="A236" i="29"/>
  <c r="A235" i="29"/>
  <c r="A234" i="29"/>
  <c r="A233" i="29"/>
  <c r="A232" i="29"/>
  <c r="A231" i="29"/>
  <c r="A230" i="29"/>
  <c r="A229" i="29"/>
  <c r="A228" i="29"/>
  <c r="A227" i="29"/>
  <c r="A226" i="29"/>
  <c r="A225" i="29"/>
  <c r="A224" i="29"/>
  <c r="A223" i="29"/>
  <c r="A222" i="29"/>
  <c r="A221" i="29"/>
  <c r="A220" i="29"/>
  <c r="A219" i="29"/>
  <c r="A218" i="29"/>
  <c r="A217" i="29"/>
  <c r="A216" i="29"/>
  <c r="A215" i="29"/>
  <c r="A214" i="29"/>
  <c r="A213" i="29"/>
  <c r="A212" i="29"/>
  <c r="A211" i="29"/>
  <c r="A210" i="29"/>
  <c r="A209" i="29"/>
  <c r="A208" i="29"/>
  <c r="A207" i="29"/>
  <c r="A206" i="29"/>
  <c r="A205" i="29"/>
  <c r="A204" i="29"/>
  <c r="A203" i="29"/>
  <c r="A202" i="29"/>
  <c r="A201" i="29"/>
  <c r="A200" i="29"/>
  <c r="A199" i="29"/>
  <c r="A198" i="29"/>
  <c r="A197" i="29"/>
  <c r="A196" i="29"/>
  <c r="A195" i="29"/>
  <c r="A194" i="29"/>
  <c r="A193" i="29"/>
  <c r="A192" i="29"/>
  <c r="A191" i="29"/>
  <c r="A190" i="29"/>
  <c r="A189" i="29"/>
  <c r="A188" i="29"/>
  <c r="A187" i="29"/>
  <c r="A186" i="29"/>
  <c r="A185" i="29"/>
  <c r="A184" i="29"/>
  <c r="A183" i="29"/>
  <c r="A182" i="29"/>
  <c r="A181" i="29"/>
  <c r="A180" i="29"/>
  <c r="A179" i="29"/>
  <c r="A178" i="29"/>
  <c r="A177" i="29"/>
  <c r="A176" i="29"/>
  <c r="A175" i="29"/>
  <c r="A174" i="29"/>
  <c r="A173" i="29"/>
  <c r="A172" i="29"/>
  <c r="A171" i="29"/>
  <c r="A170" i="29"/>
  <c r="A169" i="29"/>
  <c r="A168" i="29"/>
  <c r="A167" i="29"/>
  <c r="A166" i="29"/>
  <c r="A165" i="29"/>
  <c r="A164" i="29"/>
  <c r="A163" i="29"/>
  <c r="A162" i="29"/>
  <c r="A161" i="29"/>
  <c r="A160" i="29"/>
  <c r="A159" i="29"/>
  <c r="A158" i="29"/>
  <c r="A157" i="29"/>
  <c r="A156" i="29"/>
  <c r="A155" i="29"/>
  <c r="A154" i="29"/>
  <c r="A153" i="29"/>
  <c r="A152" i="29"/>
  <c r="A151" i="29"/>
  <c r="A150" i="29"/>
  <c r="A149" i="29"/>
  <c r="A148" i="29"/>
  <c r="A147" i="29"/>
  <c r="A146" i="29"/>
  <c r="A145" i="29"/>
  <c r="A144" i="29"/>
  <c r="A143" i="29"/>
  <c r="A142" i="29"/>
  <c r="A141" i="29"/>
  <c r="A140" i="29"/>
  <c r="A139" i="29"/>
  <c r="A138" i="29"/>
  <c r="A137" i="29"/>
  <c r="A136" i="29"/>
  <c r="A135" i="29"/>
  <c r="A134" i="29"/>
  <c r="A133" i="29"/>
  <c r="A132" i="29"/>
  <c r="A131" i="29"/>
  <c r="A130" i="29"/>
  <c r="A129" i="29"/>
  <c r="A128" i="29"/>
  <c r="A127" i="29"/>
  <c r="A126" i="29"/>
  <c r="A125" i="29"/>
  <c r="A124" i="29"/>
  <c r="A123" i="29"/>
  <c r="A122" i="29"/>
  <c r="A121" i="29"/>
  <c r="A120" i="29"/>
  <c r="A119" i="29"/>
  <c r="A118" i="29"/>
  <c r="A117" i="29"/>
  <c r="A116" i="29"/>
  <c r="A115" i="29"/>
  <c r="A114" i="29"/>
  <c r="A113" i="29"/>
  <c r="A112" i="29"/>
  <c r="A111" i="29"/>
  <c r="A110" i="29"/>
  <c r="A109" i="29"/>
  <c r="A108" i="29"/>
  <c r="A107" i="29"/>
  <c r="A106" i="29"/>
  <c r="A105" i="29"/>
  <c r="A104" i="29"/>
  <c r="A103" i="29"/>
  <c r="A102" i="29"/>
  <c r="A101" i="29"/>
  <c r="A100" i="29"/>
  <c r="A99" i="29"/>
  <c r="A98" i="29"/>
  <c r="A97" i="29"/>
  <c r="A96" i="29"/>
  <c r="A95" i="29"/>
  <c r="A94" i="29"/>
  <c r="A93" i="29"/>
  <c r="A92" i="29"/>
  <c r="A91" i="29"/>
  <c r="A90" i="29"/>
  <c r="A89" i="29"/>
  <c r="A88" i="29"/>
  <c r="A87" i="29"/>
  <c r="A86" i="29"/>
  <c r="A85" i="29"/>
  <c r="A84" i="29"/>
  <c r="A83" i="29"/>
  <c r="A82" i="29"/>
  <c r="A81" i="29"/>
  <c r="A80" i="29"/>
  <c r="A79" i="29"/>
  <c r="A78" i="29"/>
  <c r="A77" i="29"/>
  <c r="A76" i="29"/>
  <c r="A75" i="29"/>
  <c r="A74" i="29"/>
  <c r="A73" i="29"/>
  <c r="A72" i="29"/>
  <c r="A71" i="29"/>
  <c r="A70" i="29"/>
  <c r="A69" i="29"/>
  <c r="A68" i="29"/>
  <c r="A67" i="29"/>
  <c r="A66" i="29"/>
  <c r="A65" i="29"/>
  <c r="A64" i="29"/>
  <c r="A63" i="29"/>
  <c r="A62" i="29"/>
  <c r="A61" i="29"/>
  <c r="A60" i="29"/>
  <c r="A59" i="29"/>
  <c r="A58" i="29"/>
  <c r="A57" i="29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436" i="28"/>
  <c r="A435" i="28"/>
  <c r="A434" i="28"/>
  <c r="A433" i="28"/>
  <c r="A432" i="28"/>
  <c r="A431" i="28"/>
  <c r="A430" i="28"/>
  <c r="A429" i="28"/>
  <c r="A428" i="28"/>
  <c r="A427" i="28"/>
  <c r="A426" i="28"/>
  <c r="A425" i="28"/>
  <c r="A424" i="28"/>
  <c r="A423" i="28"/>
  <c r="A422" i="28"/>
  <c r="A421" i="28"/>
  <c r="A420" i="28"/>
  <c r="A419" i="28"/>
  <c r="A418" i="28"/>
  <c r="A417" i="28"/>
  <c r="A416" i="28"/>
  <c r="A415" i="28"/>
  <c r="A414" i="28"/>
  <c r="A413" i="28"/>
  <c r="A412" i="28"/>
  <c r="A411" i="28"/>
  <c r="A410" i="28"/>
  <c r="A409" i="28"/>
  <c r="A408" i="28"/>
  <c r="A407" i="28"/>
  <c r="A406" i="28"/>
  <c r="A405" i="28"/>
  <c r="A404" i="28"/>
  <c r="A403" i="28"/>
  <c r="A402" i="28"/>
  <c r="A401" i="28"/>
  <c r="A400" i="28"/>
  <c r="A399" i="28"/>
  <c r="A398" i="28"/>
  <c r="A397" i="28"/>
  <c r="A396" i="28"/>
  <c r="A395" i="28"/>
  <c r="A394" i="28"/>
  <c r="A393" i="28"/>
  <c r="A392" i="28"/>
  <c r="A391" i="28"/>
  <c r="A390" i="28"/>
  <c r="A389" i="28"/>
  <c r="A388" i="28"/>
  <c r="A387" i="28"/>
  <c r="A386" i="28"/>
  <c r="A385" i="28"/>
  <c r="A384" i="28"/>
  <c r="A383" i="28"/>
  <c r="A382" i="28"/>
  <c r="A381" i="28"/>
  <c r="A380" i="28"/>
  <c r="A379" i="28"/>
  <c r="A378" i="28"/>
  <c r="A377" i="28"/>
  <c r="A376" i="28"/>
  <c r="A375" i="28"/>
  <c r="A374" i="28"/>
  <c r="A373" i="28"/>
  <c r="A372" i="28"/>
  <c r="A371" i="28"/>
  <c r="A370" i="28"/>
  <c r="A369" i="28"/>
  <c r="A368" i="28"/>
  <c r="A367" i="28"/>
  <c r="A366" i="28"/>
  <c r="A365" i="28"/>
  <c r="A364" i="28"/>
  <c r="A363" i="28"/>
  <c r="A362" i="28"/>
  <c r="A361" i="28"/>
  <c r="A360" i="28"/>
  <c r="A359" i="28"/>
  <c r="A358" i="28"/>
  <c r="A357" i="28"/>
  <c r="A356" i="28"/>
  <c r="A355" i="28"/>
  <c r="A354" i="28"/>
  <c r="A353" i="28"/>
  <c r="A352" i="28"/>
  <c r="A351" i="28"/>
  <c r="A350" i="28"/>
  <c r="A349" i="28"/>
  <c r="A348" i="28"/>
  <c r="A347" i="28"/>
  <c r="A346" i="28"/>
  <c r="A345" i="28"/>
  <c r="A344" i="28"/>
  <c r="A343" i="28"/>
  <c r="A342" i="28"/>
  <c r="A341" i="28"/>
  <c r="A340" i="28"/>
  <c r="A339" i="28"/>
  <c r="A338" i="28"/>
  <c r="A337" i="28"/>
  <c r="A336" i="28"/>
  <c r="A335" i="28"/>
  <c r="A334" i="28"/>
  <c r="A333" i="28"/>
  <c r="A332" i="28"/>
  <c r="A331" i="28"/>
  <c r="A330" i="28"/>
  <c r="A329" i="28"/>
  <c r="A328" i="28"/>
  <c r="A327" i="28"/>
  <c r="A326" i="28"/>
  <c r="A325" i="28"/>
  <c r="A324" i="28"/>
  <c r="A323" i="28"/>
  <c r="A322" i="28"/>
  <c r="A321" i="28"/>
  <c r="A320" i="28"/>
  <c r="A319" i="28"/>
  <c r="A318" i="28"/>
  <c r="A317" i="28"/>
  <c r="A316" i="28"/>
  <c r="A315" i="28"/>
  <c r="A314" i="28"/>
  <c r="A313" i="28"/>
  <c r="A312" i="28"/>
  <c r="A311" i="28"/>
  <c r="A310" i="28"/>
  <c r="A309" i="28"/>
  <c r="A308" i="28"/>
  <c r="A307" i="28"/>
  <c r="A306" i="28"/>
  <c r="A305" i="28"/>
  <c r="A304" i="28"/>
  <c r="A303" i="28"/>
  <c r="A302" i="28"/>
  <c r="A301" i="28"/>
  <c r="A300" i="28"/>
  <c r="A299" i="28"/>
  <c r="A298" i="28"/>
  <c r="A297" i="28"/>
  <c r="A296" i="28"/>
  <c r="A295" i="28"/>
  <c r="A294" i="28"/>
  <c r="A293" i="28"/>
  <c r="A292" i="28"/>
  <c r="A291" i="28"/>
  <c r="A290" i="28"/>
  <c r="A289" i="28"/>
  <c r="A288" i="28"/>
  <c r="A287" i="28"/>
  <c r="A286" i="28"/>
  <c r="A285" i="28"/>
  <c r="A284" i="28"/>
  <c r="A283" i="28"/>
  <c r="A282" i="28"/>
  <c r="A281" i="28"/>
  <c r="A280" i="28"/>
  <c r="A279" i="28"/>
  <c r="A278" i="28"/>
  <c r="A277" i="28"/>
  <c r="A276" i="28"/>
  <c r="A275" i="28"/>
  <c r="A274" i="28"/>
  <c r="A273" i="28"/>
  <c r="A272" i="28"/>
  <c r="A271" i="28"/>
  <c r="A270" i="28"/>
  <c r="A269" i="28"/>
  <c r="A268" i="28"/>
  <c r="A267" i="28"/>
  <c r="A266" i="28"/>
  <c r="A265" i="28"/>
  <c r="A264" i="28"/>
  <c r="A263" i="28"/>
  <c r="A262" i="28"/>
  <c r="A261" i="28"/>
  <c r="A260" i="28"/>
  <c r="A259" i="28"/>
  <c r="A258" i="28"/>
  <c r="A257" i="28"/>
  <c r="A256" i="28"/>
  <c r="A255" i="28"/>
  <c r="A254" i="28"/>
  <c r="A253" i="28"/>
  <c r="A252" i="28"/>
  <c r="A251" i="28"/>
  <c r="A250" i="28"/>
  <c r="A249" i="28"/>
  <c r="A248" i="28"/>
  <c r="A247" i="28"/>
  <c r="A246" i="28"/>
  <c r="A245" i="28"/>
  <c r="A244" i="28"/>
  <c r="A243" i="28"/>
  <c r="A242" i="28"/>
  <c r="A241" i="28"/>
  <c r="A240" i="28"/>
  <c r="A239" i="28"/>
  <c r="A238" i="28"/>
  <c r="A237" i="28"/>
  <c r="A236" i="28"/>
  <c r="A235" i="28"/>
  <c r="A234" i="28"/>
  <c r="A233" i="28"/>
  <c r="A232" i="28"/>
  <c r="A231" i="28"/>
  <c r="A230" i="28"/>
  <c r="A229" i="28"/>
  <c r="A228" i="28"/>
  <c r="A227" i="28"/>
  <c r="A226" i="28"/>
  <c r="A225" i="28"/>
  <c r="A224" i="28"/>
  <c r="A223" i="28"/>
  <c r="A222" i="28"/>
  <c r="A221" i="28"/>
  <c r="A220" i="28"/>
  <c r="A219" i="28"/>
  <c r="A218" i="28"/>
  <c r="A217" i="28"/>
  <c r="A216" i="28"/>
  <c r="A215" i="28"/>
  <c r="A214" i="28"/>
  <c r="A213" i="28"/>
  <c r="A212" i="28"/>
  <c r="A211" i="28"/>
  <c r="A210" i="28"/>
  <c r="A209" i="28"/>
  <c r="A208" i="28"/>
  <c r="A207" i="28"/>
  <c r="A206" i="28"/>
  <c r="A205" i="28"/>
  <c r="A204" i="28"/>
  <c r="A203" i="28"/>
  <c r="A202" i="28"/>
  <c r="A201" i="28"/>
  <c r="A200" i="28"/>
  <c r="A199" i="28"/>
  <c r="A198" i="28"/>
  <c r="A197" i="28"/>
  <c r="A196" i="28"/>
  <c r="A195" i="28"/>
  <c r="A194" i="28"/>
  <c r="A193" i="28"/>
  <c r="A192" i="28"/>
  <c r="A191" i="28"/>
  <c r="A190" i="28"/>
  <c r="A189" i="28"/>
  <c r="A188" i="28"/>
  <c r="A187" i="28"/>
  <c r="A186" i="28"/>
  <c r="A185" i="28"/>
  <c r="A184" i="28"/>
  <c r="A183" i="28"/>
  <c r="A182" i="28"/>
  <c r="A181" i="28"/>
  <c r="A180" i="28"/>
  <c r="A179" i="28"/>
  <c r="A178" i="28"/>
  <c r="A177" i="28"/>
  <c r="A176" i="28"/>
  <c r="A175" i="28"/>
  <c r="A174" i="28"/>
  <c r="A173" i="28"/>
  <c r="A172" i="28"/>
  <c r="A171" i="28"/>
  <c r="A170" i="28"/>
  <c r="A169" i="28"/>
  <c r="A168" i="28"/>
  <c r="A167" i="28"/>
  <c r="A166" i="28"/>
  <c r="A165" i="28"/>
  <c r="A164" i="28"/>
  <c r="A163" i="28"/>
  <c r="A162" i="28"/>
  <c r="A161" i="28"/>
  <c r="A160" i="28"/>
  <c r="A159" i="28"/>
  <c r="A158" i="28"/>
  <c r="A157" i="28"/>
  <c r="A156" i="28"/>
  <c r="A155" i="28"/>
  <c r="A154" i="28"/>
  <c r="A153" i="28"/>
  <c r="A152" i="28"/>
  <c r="A151" i="28"/>
  <c r="A150" i="28"/>
  <c r="A149" i="28"/>
  <c r="A148" i="28"/>
  <c r="A147" i="28"/>
  <c r="A146" i="28"/>
  <c r="A145" i="28"/>
  <c r="A144" i="28"/>
  <c r="A143" i="28"/>
  <c r="A142" i="28"/>
  <c r="A141" i="28"/>
  <c r="A140" i="28"/>
  <c r="A139" i="28"/>
  <c r="A138" i="28"/>
  <c r="A137" i="28"/>
  <c r="A136" i="28"/>
  <c r="A135" i="28"/>
  <c r="A134" i="28"/>
  <c r="A133" i="28"/>
  <c r="A132" i="28"/>
  <c r="A131" i="28"/>
  <c r="A130" i="28"/>
  <c r="A129" i="28"/>
  <c r="A128" i="28"/>
  <c r="A127" i="28"/>
  <c r="A126" i="28"/>
  <c r="A125" i="28"/>
  <c r="A124" i="28"/>
  <c r="A123" i="28"/>
  <c r="A122" i="28"/>
  <c r="A121" i="28"/>
  <c r="A120" i="28"/>
  <c r="A119" i="28"/>
  <c r="A118" i="28"/>
  <c r="A117" i="28"/>
  <c r="A116" i="28"/>
  <c r="A115" i="28"/>
  <c r="A114" i="28"/>
  <c r="A113" i="28"/>
  <c r="A112" i="28"/>
  <c r="A111" i="28"/>
  <c r="A110" i="28"/>
  <c r="A109" i="28"/>
  <c r="A108" i="28"/>
  <c r="A107" i="28"/>
  <c r="A106" i="28"/>
  <c r="A105" i="28"/>
  <c r="A104" i="28"/>
  <c r="A103" i="28"/>
  <c r="A102" i="28"/>
  <c r="A101" i="28"/>
  <c r="A100" i="28"/>
  <c r="A99" i="28"/>
  <c r="A98" i="28"/>
  <c r="A97" i="28"/>
  <c r="A96" i="28"/>
  <c r="A95" i="28"/>
  <c r="A94" i="28"/>
  <c r="A93" i="28"/>
  <c r="A92" i="28"/>
  <c r="A91" i="28"/>
  <c r="A90" i="28"/>
  <c r="A89" i="28"/>
  <c r="A88" i="28"/>
  <c r="A87" i="28"/>
  <c r="A86" i="28"/>
  <c r="A85" i="28"/>
  <c r="A84" i="28"/>
  <c r="A83" i="28"/>
  <c r="A82" i="28"/>
  <c r="A81" i="28"/>
  <c r="A80" i="28"/>
  <c r="A79" i="28"/>
  <c r="A78" i="28"/>
  <c r="A77" i="28"/>
  <c r="A76" i="28"/>
  <c r="A75" i="28"/>
  <c r="A74" i="28"/>
  <c r="A73" i="28"/>
  <c r="A72" i="28"/>
  <c r="A71" i="28"/>
  <c r="A70" i="28"/>
  <c r="A69" i="28"/>
  <c r="A68" i="28"/>
  <c r="A67" i="28"/>
  <c r="A66" i="28"/>
  <c r="A65" i="28"/>
  <c r="A64" i="28"/>
  <c r="A63" i="28"/>
  <c r="A62" i="28"/>
  <c r="A61" i="28"/>
  <c r="A60" i="28"/>
  <c r="A59" i="28"/>
  <c r="A58" i="28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436" i="27"/>
  <c r="A435" i="27"/>
  <c r="A434" i="27"/>
  <c r="A433" i="27"/>
  <c r="A432" i="27"/>
  <c r="A431" i="27"/>
  <c r="A430" i="27"/>
  <c r="A429" i="27"/>
  <c r="A428" i="27"/>
  <c r="A427" i="27"/>
  <c r="A426" i="27"/>
  <c r="A425" i="27"/>
  <c r="A424" i="27"/>
  <c r="A423" i="27"/>
  <c r="A422" i="27"/>
  <c r="A421" i="27"/>
  <c r="A420" i="27"/>
  <c r="A419" i="27"/>
  <c r="A418" i="27"/>
  <c r="A417" i="27"/>
  <c r="A416" i="27"/>
  <c r="A415" i="27"/>
  <c r="A414" i="27"/>
  <c r="A413" i="27"/>
  <c r="A412" i="27"/>
  <c r="A411" i="27"/>
  <c r="A410" i="27"/>
  <c r="A409" i="27"/>
  <c r="A408" i="27"/>
  <c r="A407" i="27"/>
  <c r="A406" i="27"/>
  <c r="A405" i="27"/>
  <c r="A404" i="27"/>
  <c r="A403" i="27"/>
  <c r="A402" i="27"/>
  <c r="A401" i="27"/>
  <c r="A400" i="27"/>
  <c r="A399" i="27"/>
  <c r="A398" i="27"/>
  <c r="A397" i="27"/>
  <c r="A396" i="27"/>
  <c r="A395" i="27"/>
  <c r="A394" i="27"/>
  <c r="A393" i="27"/>
  <c r="A392" i="27"/>
  <c r="A391" i="27"/>
  <c r="A390" i="27"/>
  <c r="A389" i="27"/>
  <c r="A388" i="27"/>
  <c r="A387" i="27"/>
  <c r="A386" i="27"/>
  <c r="A385" i="27"/>
  <c r="A384" i="27"/>
  <c r="A383" i="27"/>
  <c r="A382" i="27"/>
  <c r="A381" i="27"/>
  <c r="A380" i="27"/>
  <c r="A379" i="27"/>
  <c r="A378" i="27"/>
  <c r="A377" i="27"/>
  <c r="A376" i="27"/>
  <c r="A375" i="27"/>
  <c r="A374" i="27"/>
  <c r="A373" i="27"/>
  <c r="A372" i="27"/>
  <c r="A371" i="27"/>
  <c r="A370" i="27"/>
  <c r="A369" i="27"/>
  <c r="A368" i="27"/>
  <c r="A367" i="27"/>
  <c r="A366" i="27"/>
  <c r="A365" i="27"/>
  <c r="A364" i="27"/>
  <c r="A363" i="27"/>
  <c r="A362" i="27"/>
  <c r="A361" i="27"/>
  <c r="A360" i="27"/>
  <c r="A359" i="27"/>
  <c r="A358" i="27"/>
  <c r="A357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8" i="27"/>
  <c r="A287" i="27"/>
  <c r="A286" i="27"/>
  <c r="A285" i="27"/>
  <c r="A284" i="27"/>
  <c r="A283" i="27"/>
  <c r="A282" i="27"/>
  <c r="A281" i="27"/>
  <c r="A280" i="27"/>
  <c r="A279" i="27"/>
  <c r="A278" i="27"/>
  <c r="A277" i="27"/>
  <c r="A276" i="27"/>
  <c r="A275" i="27"/>
  <c r="A274" i="27"/>
  <c r="A273" i="27"/>
  <c r="A272" i="27"/>
  <c r="A271" i="27"/>
  <c r="A270" i="27"/>
  <c r="A269" i="27"/>
  <c r="A268" i="27"/>
  <c r="A267" i="27"/>
  <c r="A266" i="27"/>
  <c r="A265" i="27"/>
  <c r="A264" i="27"/>
  <c r="A263" i="27"/>
  <c r="A262" i="27"/>
  <c r="A261" i="27"/>
  <c r="A260" i="27"/>
  <c r="A259" i="27"/>
  <c r="A258" i="27"/>
  <c r="A257" i="27"/>
  <c r="A256" i="27"/>
  <c r="A255" i="27"/>
  <c r="A254" i="27"/>
  <c r="A253" i="27"/>
  <c r="A252" i="27"/>
  <c r="A251" i="27"/>
  <c r="A250" i="27"/>
  <c r="A249" i="27"/>
  <c r="A248" i="27"/>
  <c r="A247" i="27"/>
  <c r="A246" i="27"/>
  <c r="A245" i="27"/>
  <c r="A244" i="27"/>
  <c r="A243" i="27"/>
  <c r="A242" i="27"/>
  <c r="A241" i="27"/>
  <c r="A240" i="27"/>
  <c r="A239" i="27"/>
  <c r="A238" i="27"/>
  <c r="A237" i="27"/>
  <c r="A236" i="27"/>
  <c r="A235" i="27"/>
  <c r="A234" i="27"/>
  <c r="A233" i="27"/>
  <c r="A232" i="27"/>
  <c r="A231" i="27"/>
  <c r="A230" i="27"/>
  <c r="A229" i="27"/>
  <c r="A228" i="27"/>
  <c r="A227" i="27"/>
  <c r="A226" i="27"/>
  <c r="A225" i="27"/>
  <c r="A224" i="27"/>
  <c r="A223" i="27"/>
  <c r="A222" i="27"/>
  <c r="A221" i="27"/>
  <c r="A220" i="27"/>
  <c r="A219" i="27"/>
  <c r="A218" i="27"/>
  <c r="A217" i="27"/>
  <c r="A216" i="27"/>
  <c r="A215" i="27"/>
  <c r="A214" i="27"/>
  <c r="A213" i="27"/>
  <c r="A212" i="27"/>
  <c r="A211" i="27"/>
  <c r="A210" i="27"/>
  <c r="A209" i="27"/>
  <c r="A208" i="27"/>
  <c r="A207" i="27"/>
  <c r="A206" i="27"/>
  <c r="A205" i="27"/>
  <c r="A204" i="27"/>
  <c r="A203" i="27"/>
  <c r="A202" i="27"/>
  <c r="A201" i="27"/>
  <c r="A200" i="27"/>
  <c r="A199" i="27"/>
  <c r="A198" i="27"/>
  <c r="A197" i="27"/>
  <c r="A196" i="27"/>
  <c r="A195" i="27"/>
  <c r="A194" i="27"/>
  <c r="A193" i="27"/>
  <c r="A192" i="27"/>
  <c r="A191" i="27"/>
  <c r="A190" i="27"/>
  <c r="A189" i="27"/>
  <c r="A188" i="27"/>
  <c r="A187" i="27"/>
  <c r="A186" i="27"/>
  <c r="A185" i="27"/>
  <c r="A184" i="27"/>
  <c r="A183" i="27"/>
  <c r="A182" i="27"/>
  <c r="A181" i="27"/>
  <c r="A180" i="27"/>
  <c r="A179" i="27"/>
  <c r="A178" i="27"/>
  <c r="A177" i="27"/>
  <c r="A176" i="27"/>
  <c r="A175" i="27"/>
  <c r="A174" i="27"/>
  <c r="A173" i="27"/>
  <c r="A172" i="27"/>
  <c r="A171" i="27"/>
  <c r="A170" i="27"/>
  <c r="A169" i="27"/>
  <c r="A168" i="27"/>
  <c r="A167" i="27"/>
  <c r="A166" i="27"/>
  <c r="A165" i="27"/>
  <c r="A164" i="27"/>
  <c r="A163" i="27"/>
  <c r="A162" i="27"/>
  <c r="A161" i="27"/>
  <c r="A160" i="27"/>
  <c r="A159" i="27"/>
  <c r="A158" i="27"/>
  <c r="A157" i="27"/>
  <c r="A156" i="27"/>
  <c r="A155" i="27"/>
  <c r="A154" i="27"/>
  <c r="A153" i="27"/>
  <c r="A152" i="27"/>
  <c r="A151" i="27"/>
  <c r="A150" i="27"/>
  <c r="A149" i="27"/>
  <c r="A148" i="27"/>
  <c r="A147" i="27"/>
  <c r="A146" i="27"/>
  <c r="A145" i="27"/>
  <c r="A144" i="27"/>
  <c r="A143" i="27"/>
  <c r="A142" i="27"/>
  <c r="A141" i="27"/>
  <c r="A140" i="27"/>
  <c r="A139" i="27"/>
  <c r="A138" i="27"/>
  <c r="A137" i="27"/>
  <c r="A136" i="27"/>
  <c r="A135" i="27"/>
  <c r="A134" i="27"/>
  <c r="A133" i="27"/>
  <c r="A132" i="27"/>
  <c r="A131" i="27"/>
  <c r="A130" i="27"/>
  <c r="A129" i="27"/>
  <c r="A128" i="27"/>
  <c r="A127" i="27"/>
  <c r="A126" i="27"/>
  <c r="A125" i="27"/>
  <c r="A124" i="27"/>
  <c r="A123" i="27"/>
  <c r="A122" i="27"/>
  <c r="A121" i="27"/>
  <c r="A120" i="27"/>
  <c r="A119" i="27"/>
  <c r="A118" i="27"/>
  <c r="A117" i="27"/>
  <c r="A116" i="27"/>
  <c r="A115" i="27"/>
  <c r="A114" i="27"/>
  <c r="A113" i="27"/>
  <c r="A112" i="27"/>
  <c r="A111" i="27"/>
  <c r="A110" i="27"/>
  <c r="A109" i="27"/>
  <c r="A108" i="27"/>
  <c r="A107" i="27"/>
  <c r="A106" i="27"/>
  <c r="A105" i="27"/>
  <c r="A104" i="27"/>
  <c r="A103" i="27"/>
  <c r="A102" i="27"/>
  <c r="A101" i="27"/>
  <c r="A100" i="27"/>
  <c r="A99" i="27"/>
  <c r="A98" i="27"/>
  <c r="A97" i="27"/>
  <c r="A96" i="27"/>
  <c r="A95" i="27"/>
  <c r="A94" i="27"/>
  <c r="A93" i="27"/>
  <c r="A92" i="27"/>
  <c r="A91" i="27"/>
  <c r="A90" i="27"/>
  <c r="A89" i="27"/>
  <c r="A88" i="27"/>
  <c r="A87" i="27"/>
  <c r="A86" i="27"/>
  <c r="A85" i="27"/>
  <c r="A84" i="27"/>
  <c r="A83" i="27"/>
  <c r="A82" i="27"/>
  <c r="A81" i="27"/>
  <c r="A80" i="27"/>
  <c r="A79" i="27"/>
  <c r="A78" i="27"/>
  <c r="A77" i="27"/>
  <c r="A76" i="27"/>
  <c r="A75" i="27"/>
  <c r="A74" i="27"/>
  <c r="A73" i="27"/>
  <c r="A72" i="27"/>
  <c r="A71" i="27"/>
  <c r="A70" i="27"/>
  <c r="A69" i="27"/>
  <c r="A68" i="27"/>
  <c r="A67" i="27"/>
  <c r="A66" i="27"/>
  <c r="A65" i="27"/>
  <c r="A64" i="27"/>
  <c r="A63" i="27"/>
  <c r="A62" i="27"/>
  <c r="A61" i="27"/>
  <c r="A60" i="27"/>
  <c r="A59" i="27"/>
  <c r="A58" i="27"/>
  <c r="A57" i="27"/>
  <c r="A56" i="27"/>
  <c r="A55" i="27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436" i="26"/>
  <c r="A435" i="26"/>
  <c r="A434" i="26"/>
  <c r="A433" i="26"/>
  <c r="A432" i="26"/>
  <c r="A431" i="26"/>
  <c r="A430" i="26"/>
  <c r="A429" i="26"/>
  <c r="A428" i="26"/>
  <c r="A427" i="26"/>
  <c r="A426" i="26"/>
  <c r="A425" i="26"/>
  <c r="A424" i="26"/>
  <c r="A423" i="26"/>
  <c r="A422" i="26"/>
  <c r="A421" i="26"/>
  <c r="A420" i="26"/>
  <c r="A419" i="26"/>
  <c r="A418" i="26"/>
  <c r="A417" i="26"/>
  <c r="A416" i="26"/>
  <c r="A415" i="26"/>
  <c r="A414" i="26"/>
  <c r="A413" i="26"/>
  <c r="A412" i="26"/>
  <c r="A411" i="26"/>
  <c r="A410" i="26"/>
  <c r="A409" i="26"/>
  <c r="A408" i="26"/>
  <c r="A407" i="26"/>
  <c r="A406" i="26"/>
  <c r="A405" i="26"/>
  <c r="A404" i="26"/>
  <c r="A403" i="26"/>
  <c r="A402" i="26"/>
  <c r="A401" i="26"/>
  <c r="A400" i="26"/>
  <c r="A399" i="26"/>
  <c r="A398" i="26"/>
  <c r="A397" i="26"/>
  <c r="A396" i="26"/>
  <c r="A395" i="26"/>
  <c r="A394" i="26"/>
  <c r="A393" i="26"/>
  <c r="A392" i="26"/>
  <c r="A391" i="26"/>
  <c r="A390" i="26"/>
  <c r="A389" i="26"/>
  <c r="A388" i="26"/>
  <c r="A387" i="26"/>
  <c r="A386" i="26"/>
  <c r="A385" i="26"/>
  <c r="A384" i="26"/>
  <c r="A383" i="26"/>
  <c r="A382" i="26"/>
  <c r="A381" i="26"/>
  <c r="A380" i="26"/>
  <c r="A379" i="26"/>
  <c r="A378" i="26"/>
  <c r="A377" i="26"/>
  <c r="A376" i="26"/>
  <c r="A375" i="26"/>
  <c r="A374" i="26"/>
  <c r="A373" i="26"/>
  <c r="A372" i="26"/>
  <c r="A371" i="26"/>
  <c r="A370" i="26"/>
  <c r="A369" i="26"/>
  <c r="A368" i="26"/>
  <c r="A367" i="26"/>
  <c r="A366" i="26"/>
  <c r="A365" i="26"/>
  <c r="A364" i="26"/>
  <c r="A363" i="26"/>
  <c r="A362" i="26"/>
  <c r="A361" i="26"/>
  <c r="A360" i="26"/>
  <c r="A359" i="26"/>
  <c r="A358" i="26"/>
  <c r="A357" i="26"/>
  <c r="A356" i="26"/>
  <c r="A355" i="26"/>
  <c r="A354" i="26"/>
  <c r="A353" i="26"/>
  <c r="A352" i="26"/>
  <c r="A351" i="26"/>
  <c r="A350" i="26"/>
  <c r="A349" i="26"/>
  <c r="A348" i="26"/>
  <c r="A347" i="26"/>
  <c r="A346" i="26"/>
  <c r="A345" i="26"/>
  <c r="A344" i="26"/>
  <c r="A343" i="26"/>
  <c r="A342" i="26"/>
  <c r="A341" i="26"/>
  <c r="A340" i="26"/>
  <c r="A339" i="26"/>
  <c r="A338" i="26"/>
  <c r="A337" i="26"/>
  <c r="A336" i="26"/>
  <c r="A335" i="26"/>
  <c r="A334" i="26"/>
  <c r="A333" i="26"/>
  <c r="A332" i="26"/>
  <c r="A331" i="26"/>
  <c r="A330" i="26"/>
  <c r="A329" i="26"/>
  <c r="A328" i="26"/>
  <c r="A327" i="26"/>
  <c r="A326" i="26"/>
  <c r="A325" i="26"/>
  <c r="A324" i="26"/>
  <c r="A323" i="26"/>
  <c r="A322" i="26"/>
  <c r="A321" i="26"/>
  <c r="A320" i="26"/>
  <c r="A319" i="26"/>
  <c r="A318" i="26"/>
  <c r="A317" i="26"/>
  <c r="A316" i="26"/>
  <c r="A315" i="26"/>
  <c r="A314" i="26"/>
  <c r="A313" i="26"/>
  <c r="A312" i="26"/>
  <c r="A311" i="26"/>
  <c r="A310" i="26"/>
  <c r="A309" i="26"/>
  <c r="A308" i="26"/>
  <c r="A307" i="26"/>
  <c r="A306" i="26"/>
  <c r="A305" i="26"/>
  <c r="A304" i="26"/>
  <c r="A303" i="26"/>
  <c r="A302" i="26"/>
  <c r="A301" i="26"/>
  <c r="A300" i="26"/>
  <c r="A299" i="26"/>
  <c r="A298" i="26"/>
  <c r="A297" i="26"/>
  <c r="A296" i="26"/>
  <c r="A295" i="26"/>
  <c r="A294" i="26"/>
  <c r="A293" i="26"/>
  <c r="A292" i="26"/>
  <c r="A291" i="26"/>
  <c r="A290" i="26"/>
  <c r="A289" i="26"/>
  <c r="A288" i="26"/>
  <c r="A287" i="26"/>
  <c r="A286" i="26"/>
  <c r="A285" i="26"/>
  <c r="A284" i="26"/>
  <c r="A283" i="26"/>
  <c r="A282" i="26"/>
  <c r="A281" i="26"/>
  <c r="A280" i="26"/>
  <c r="A279" i="26"/>
  <c r="A278" i="26"/>
  <c r="A277" i="26"/>
  <c r="A276" i="26"/>
  <c r="A275" i="26"/>
  <c r="A274" i="26"/>
  <c r="A273" i="26"/>
  <c r="A272" i="26"/>
  <c r="A271" i="26"/>
  <c r="A270" i="26"/>
  <c r="A269" i="26"/>
  <c r="A268" i="26"/>
  <c r="A267" i="26"/>
  <c r="A266" i="26"/>
  <c r="A265" i="26"/>
  <c r="A264" i="26"/>
  <c r="A263" i="26"/>
  <c r="A262" i="26"/>
  <c r="A261" i="26"/>
  <c r="A260" i="26"/>
  <c r="A259" i="26"/>
  <c r="A258" i="26"/>
  <c r="A257" i="26"/>
  <c r="A256" i="26"/>
  <c r="A255" i="26"/>
  <c r="A254" i="26"/>
  <c r="A253" i="26"/>
  <c r="A252" i="26"/>
  <c r="A251" i="26"/>
  <c r="A250" i="26"/>
  <c r="A249" i="26"/>
  <c r="A248" i="26"/>
  <c r="A247" i="26"/>
  <c r="A246" i="26"/>
  <c r="A245" i="26"/>
  <c r="A244" i="26"/>
  <c r="A243" i="26"/>
  <c r="A242" i="26"/>
  <c r="A241" i="26"/>
  <c r="A240" i="26"/>
  <c r="A239" i="26"/>
  <c r="A238" i="26"/>
  <c r="A237" i="26"/>
  <c r="A236" i="26"/>
  <c r="A235" i="26"/>
  <c r="A234" i="26"/>
  <c r="A233" i="26"/>
  <c r="A232" i="26"/>
  <c r="A231" i="26"/>
  <c r="A230" i="26"/>
  <c r="A229" i="26"/>
  <c r="A228" i="26"/>
  <c r="A227" i="26"/>
  <c r="A226" i="26"/>
  <c r="A225" i="26"/>
  <c r="A224" i="26"/>
  <c r="A223" i="26"/>
  <c r="A222" i="26"/>
  <c r="A221" i="26"/>
  <c r="A220" i="26"/>
  <c r="A219" i="26"/>
  <c r="A218" i="26"/>
  <c r="A217" i="26"/>
  <c r="A216" i="26"/>
  <c r="A215" i="26"/>
  <c r="A214" i="26"/>
  <c r="A213" i="26"/>
  <c r="A212" i="26"/>
  <c r="A211" i="26"/>
  <c r="A210" i="26"/>
  <c r="A209" i="26"/>
  <c r="A208" i="26"/>
  <c r="A207" i="26"/>
  <c r="A206" i="26"/>
  <c r="A205" i="26"/>
  <c r="A204" i="26"/>
  <c r="A203" i="26"/>
  <c r="A202" i="26"/>
  <c r="A201" i="26"/>
  <c r="A200" i="26"/>
  <c r="A199" i="26"/>
  <c r="A198" i="26"/>
  <c r="A197" i="26"/>
  <c r="A196" i="26"/>
  <c r="A195" i="26"/>
  <c r="A194" i="26"/>
  <c r="A193" i="26"/>
  <c r="A192" i="26"/>
  <c r="A191" i="26"/>
  <c r="A190" i="26"/>
  <c r="A189" i="26"/>
  <c r="A188" i="26"/>
  <c r="A187" i="26"/>
  <c r="A186" i="26"/>
  <c r="A185" i="26"/>
  <c r="A184" i="26"/>
  <c r="A183" i="26"/>
  <c r="A182" i="26"/>
  <c r="A181" i="26"/>
  <c r="A180" i="26"/>
  <c r="A179" i="26"/>
  <c r="A178" i="26"/>
  <c r="A177" i="26"/>
  <c r="A176" i="26"/>
  <c r="A175" i="26"/>
  <c r="A174" i="26"/>
  <c r="A173" i="26"/>
  <c r="A172" i="26"/>
  <c r="A171" i="26"/>
  <c r="A170" i="26"/>
  <c r="A169" i="26"/>
  <c r="A168" i="26"/>
  <c r="A167" i="26"/>
  <c r="A166" i="26"/>
  <c r="A165" i="26"/>
  <c r="A164" i="26"/>
  <c r="A163" i="26"/>
  <c r="A162" i="26"/>
  <c r="A161" i="26"/>
  <c r="A160" i="26"/>
  <c r="A159" i="26"/>
  <c r="A158" i="26"/>
  <c r="A157" i="26"/>
  <c r="A156" i="26"/>
  <c r="A155" i="26"/>
  <c r="A154" i="26"/>
  <c r="A153" i="26"/>
  <c r="A152" i="26"/>
  <c r="A151" i="26"/>
  <c r="A150" i="26"/>
  <c r="A149" i="26"/>
  <c r="A148" i="26"/>
  <c r="A147" i="26"/>
  <c r="A146" i="26"/>
  <c r="A145" i="26"/>
  <c r="A144" i="26"/>
  <c r="A143" i="26"/>
  <c r="A142" i="26"/>
  <c r="A141" i="26"/>
  <c r="A140" i="26"/>
  <c r="A139" i="26"/>
  <c r="A138" i="26"/>
  <c r="A137" i="26"/>
  <c r="A136" i="26"/>
  <c r="A135" i="26"/>
  <c r="A134" i="26"/>
  <c r="A133" i="26"/>
  <c r="A132" i="26"/>
  <c r="A131" i="26"/>
  <c r="A130" i="26"/>
  <c r="A129" i="26"/>
  <c r="A128" i="26"/>
  <c r="A127" i="26"/>
  <c r="A126" i="26"/>
  <c r="A125" i="26"/>
  <c r="A124" i="26"/>
  <c r="A123" i="26"/>
  <c r="A122" i="26"/>
  <c r="A121" i="26"/>
  <c r="A120" i="26"/>
  <c r="A119" i="26"/>
  <c r="A118" i="26"/>
  <c r="A117" i="26"/>
  <c r="A116" i="26"/>
  <c r="A115" i="26"/>
  <c r="A114" i="26"/>
  <c r="A113" i="26"/>
  <c r="A112" i="26"/>
  <c r="A111" i="26"/>
  <c r="A110" i="26"/>
  <c r="A109" i="26"/>
  <c r="A108" i="26"/>
  <c r="A107" i="26"/>
  <c r="A106" i="26"/>
  <c r="A105" i="26"/>
  <c r="A104" i="26"/>
  <c r="A103" i="26"/>
  <c r="A102" i="26"/>
  <c r="A101" i="26"/>
  <c r="A100" i="26"/>
  <c r="A99" i="26"/>
  <c r="A98" i="26"/>
  <c r="A97" i="26"/>
  <c r="A96" i="26"/>
  <c r="A95" i="26"/>
  <c r="A94" i="26"/>
  <c r="A93" i="26"/>
  <c r="A92" i="26"/>
  <c r="A91" i="26"/>
  <c r="A90" i="26"/>
  <c r="A89" i="26"/>
  <c r="A88" i="26"/>
  <c r="A87" i="26"/>
  <c r="A86" i="26"/>
  <c r="A85" i="26"/>
  <c r="A84" i="26"/>
  <c r="A83" i="26"/>
  <c r="A82" i="26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436" i="25"/>
  <c r="A435" i="25"/>
  <c r="A434" i="25"/>
  <c r="A433" i="25"/>
  <c r="A432" i="25"/>
  <c r="A431" i="25"/>
  <c r="A430" i="25"/>
  <c r="A429" i="25"/>
  <c r="A428" i="25"/>
  <c r="A427" i="25"/>
  <c r="A426" i="25"/>
  <c r="A425" i="25"/>
  <c r="A424" i="25"/>
  <c r="A423" i="25"/>
  <c r="A422" i="25"/>
  <c r="A421" i="25"/>
  <c r="A420" i="25"/>
  <c r="A419" i="25"/>
  <c r="A418" i="25"/>
  <c r="A417" i="25"/>
  <c r="A416" i="25"/>
  <c r="A415" i="25"/>
  <c r="A414" i="25"/>
  <c r="A413" i="25"/>
  <c r="A412" i="25"/>
  <c r="A411" i="25"/>
  <c r="A410" i="25"/>
  <c r="A409" i="25"/>
  <c r="A408" i="25"/>
  <c r="A407" i="25"/>
  <c r="A406" i="25"/>
  <c r="A405" i="25"/>
  <c r="A404" i="25"/>
  <c r="A403" i="25"/>
  <c r="A402" i="25"/>
  <c r="A401" i="25"/>
  <c r="A400" i="25"/>
  <c r="A399" i="25"/>
  <c r="A398" i="25"/>
  <c r="A397" i="25"/>
  <c r="A396" i="25"/>
  <c r="A395" i="25"/>
  <c r="A394" i="25"/>
  <c r="A393" i="25"/>
  <c r="A392" i="25"/>
  <c r="A391" i="25"/>
  <c r="A390" i="25"/>
  <c r="A389" i="25"/>
  <c r="A388" i="25"/>
  <c r="A387" i="25"/>
  <c r="A386" i="25"/>
  <c r="A385" i="25"/>
  <c r="A384" i="25"/>
  <c r="A383" i="25"/>
  <c r="A382" i="25"/>
  <c r="A381" i="25"/>
  <c r="A380" i="25"/>
  <c r="A379" i="25"/>
  <c r="A378" i="25"/>
  <c r="A377" i="25"/>
  <c r="A376" i="25"/>
  <c r="A375" i="25"/>
  <c r="A374" i="25"/>
  <c r="A373" i="25"/>
  <c r="A372" i="25"/>
  <c r="A371" i="25"/>
  <c r="A370" i="25"/>
  <c r="A369" i="25"/>
  <c r="A368" i="25"/>
  <c r="A367" i="25"/>
  <c r="A366" i="25"/>
  <c r="A365" i="25"/>
  <c r="A364" i="25"/>
  <c r="A363" i="25"/>
  <c r="A362" i="25"/>
  <c r="A361" i="25"/>
  <c r="A360" i="25"/>
  <c r="A359" i="25"/>
  <c r="A358" i="25"/>
  <c r="A357" i="25"/>
  <c r="A356" i="25"/>
  <c r="A355" i="25"/>
  <c r="A354" i="25"/>
  <c r="A353" i="25"/>
  <c r="A352" i="25"/>
  <c r="A351" i="25"/>
  <c r="A350" i="25"/>
  <c r="A349" i="25"/>
  <c r="A348" i="25"/>
  <c r="A347" i="25"/>
  <c r="A346" i="25"/>
  <c r="A345" i="25"/>
  <c r="A344" i="25"/>
  <c r="A343" i="25"/>
  <c r="A342" i="25"/>
  <c r="A341" i="25"/>
  <c r="A340" i="25"/>
  <c r="A339" i="25"/>
  <c r="A338" i="25"/>
  <c r="A337" i="25"/>
  <c r="A336" i="25"/>
  <c r="A335" i="25"/>
  <c r="A334" i="25"/>
  <c r="A333" i="25"/>
  <c r="A332" i="25"/>
  <c r="A331" i="25"/>
  <c r="A330" i="25"/>
  <c r="A329" i="25"/>
  <c r="A328" i="25"/>
  <c r="A327" i="25"/>
  <c r="A326" i="25"/>
  <c r="A325" i="25"/>
  <c r="A324" i="25"/>
  <c r="A323" i="25"/>
  <c r="A322" i="25"/>
  <c r="A321" i="25"/>
  <c r="A320" i="25"/>
  <c r="A319" i="25"/>
  <c r="A318" i="25"/>
  <c r="A317" i="25"/>
  <c r="A316" i="25"/>
  <c r="A315" i="25"/>
  <c r="A314" i="25"/>
  <c r="A313" i="25"/>
  <c r="A312" i="25"/>
  <c r="A311" i="25"/>
  <c r="A310" i="25"/>
  <c r="A309" i="25"/>
  <c r="A308" i="25"/>
  <c r="A307" i="25"/>
  <c r="A306" i="25"/>
  <c r="A305" i="25"/>
  <c r="A304" i="25"/>
  <c r="A303" i="25"/>
  <c r="A302" i="25"/>
  <c r="A301" i="25"/>
  <c r="A300" i="25"/>
  <c r="A299" i="25"/>
  <c r="A298" i="25"/>
  <c r="A297" i="25"/>
  <c r="A296" i="25"/>
  <c r="A295" i="25"/>
  <c r="A294" i="25"/>
  <c r="A293" i="25"/>
  <c r="A292" i="25"/>
  <c r="A291" i="25"/>
  <c r="A290" i="25"/>
  <c r="A289" i="25"/>
  <c r="A288" i="25"/>
  <c r="A287" i="25"/>
  <c r="A286" i="25"/>
  <c r="A285" i="25"/>
  <c r="A284" i="25"/>
  <c r="A283" i="25"/>
  <c r="A282" i="25"/>
  <c r="A281" i="25"/>
  <c r="A280" i="25"/>
  <c r="A279" i="25"/>
  <c r="A278" i="25"/>
  <c r="A277" i="25"/>
  <c r="A276" i="25"/>
  <c r="A275" i="25"/>
  <c r="A274" i="25"/>
  <c r="A273" i="25"/>
  <c r="A272" i="25"/>
  <c r="A271" i="25"/>
  <c r="A270" i="25"/>
  <c r="A269" i="25"/>
  <c r="A268" i="25"/>
  <c r="A267" i="25"/>
  <c r="A266" i="25"/>
  <c r="A265" i="25"/>
  <c r="A264" i="25"/>
  <c r="A263" i="25"/>
  <c r="A262" i="25"/>
  <c r="A261" i="25"/>
  <c r="A260" i="25"/>
  <c r="A259" i="25"/>
  <c r="A258" i="25"/>
  <c r="A257" i="25"/>
  <c r="A256" i="25"/>
  <c r="A255" i="25"/>
  <c r="A254" i="25"/>
  <c r="A253" i="25"/>
  <c r="A252" i="25"/>
  <c r="A251" i="25"/>
  <c r="A250" i="25"/>
  <c r="A249" i="25"/>
  <c r="A248" i="25"/>
  <c r="A247" i="25"/>
  <c r="A246" i="25"/>
  <c r="A245" i="25"/>
  <c r="A244" i="25"/>
  <c r="A243" i="25"/>
  <c r="A242" i="25"/>
  <c r="A241" i="25"/>
  <c r="A240" i="25"/>
  <c r="A239" i="25"/>
  <c r="A238" i="25"/>
  <c r="A237" i="25"/>
  <c r="A236" i="25"/>
  <c r="A235" i="25"/>
  <c r="A234" i="25"/>
  <c r="A233" i="25"/>
  <c r="A232" i="25"/>
  <c r="A231" i="25"/>
  <c r="A230" i="25"/>
  <c r="A229" i="25"/>
  <c r="A228" i="25"/>
  <c r="A227" i="25"/>
  <c r="A226" i="25"/>
  <c r="A225" i="25"/>
  <c r="A224" i="25"/>
  <c r="A223" i="25"/>
  <c r="A222" i="25"/>
  <c r="A221" i="25"/>
  <c r="A220" i="25"/>
  <c r="A219" i="25"/>
  <c r="A218" i="25"/>
  <c r="A217" i="25"/>
  <c r="A216" i="25"/>
  <c r="A215" i="25"/>
  <c r="A214" i="25"/>
  <c r="A213" i="25"/>
  <c r="A212" i="25"/>
  <c r="A211" i="25"/>
  <c r="A210" i="25"/>
  <c r="A209" i="25"/>
  <c r="A208" i="25"/>
  <c r="A207" i="25"/>
  <c r="A206" i="25"/>
  <c r="A205" i="25"/>
  <c r="A204" i="25"/>
  <c r="A203" i="25"/>
  <c r="A202" i="25"/>
  <c r="A201" i="25"/>
  <c r="A200" i="25"/>
  <c r="A199" i="25"/>
  <c r="A198" i="25"/>
  <c r="A197" i="25"/>
  <c r="A196" i="25"/>
  <c r="A195" i="25"/>
  <c r="A194" i="25"/>
  <c r="A193" i="25"/>
  <c r="A192" i="25"/>
  <c r="A191" i="25"/>
  <c r="A190" i="25"/>
  <c r="A189" i="25"/>
  <c r="A188" i="25"/>
  <c r="A187" i="25"/>
  <c r="A186" i="25"/>
  <c r="A185" i="25"/>
  <c r="A184" i="25"/>
  <c r="A183" i="25"/>
  <c r="A182" i="25"/>
  <c r="A181" i="25"/>
  <c r="A180" i="25"/>
  <c r="A179" i="25"/>
  <c r="A178" i="25"/>
  <c r="A177" i="25"/>
  <c r="A176" i="25"/>
  <c r="A175" i="25"/>
  <c r="A174" i="25"/>
  <c r="A173" i="25"/>
  <c r="A172" i="25"/>
  <c r="A171" i="25"/>
  <c r="A170" i="25"/>
  <c r="A169" i="25"/>
  <c r="A168" i="25"/>
  <c r="A167" i="25"/>
  <c r="A166" i="25"/>
  <c r="A165" i="25"/>
  <c r="A164" i="25"/>
  <c r="A163" i="25"/>
  <c r="A162" i="25"/>
  <c r="A161" i="25"/>
  <c r="A160" i="25"/>
  <c r="A159" i="25"/>
  <c r="A158" i="25"/>
  <c r="A157" i="25"/>
  <c r="A156" i="25"/>
  <c r="A155" i="25"/>
  <c r="A154" i="25"/>
  <c r="A153" i="25"/>
  <c r="A152" i="25"/>
  <c r="A151" i="25"/>
  <c r="A150" i="25"/>
  <c r="A149" i="25"/>
  <c r="A148" i="25"/>
  <c r="A147" i="25"/>
  <c r="A146" i="25"/>
  <c r="A145" i="25"/>
  <c r="A144" i="25"/>
  <c r="A143" i="25"/>
  <c r="A142" i="25"/>
  <c r="A141" i="25"/>
  <c r="A140" i="25"/>
  <c r="A139" i="25"/>
  <c r="A138" i="25"/>
  <c r="A137" i="25"/>
  <c r="A136" i="25"/>
  <c r="A135" i="25"/>
  <c r="A134" i="25"/>
  <c r="A133" i="25"/>
  <c r="A132" i="25"/>
  <c r="A131" i="25"/>
  <c r="A130" i="25"/>
  <c r="A129" i="25"/>
  <c r="A128" i="25"/>
  <c r="A127" i="25"/>
  <c r="A126" i="25"/>
  <c r="A125" i="25"/>
  <c r="A124" i="25"/>
  <c r="A123" i="25"/>
  <c r="A122" i="25"/>
  <c r="A121" i="25"/>
  <c r="A120" i="25"/>
  <c r="A119" i="25"/>
  <c r="A118" i="25"/>
  <c r="A117" i="25"/>
  <c r="A116" i="25"/>
  <c r="A115" i="25"/>
  <c r="A114" i="25"/>
  <c r="A113" i="25"/>
  <c r="A112" i="25"/>
  <c r="A111" i="25"/>
  <c r="A110" i="25"/>
  <c r="A109" i="25"/>
  <c r="A108" i="25"/>
  <c r="A107" i="25"/>
  <c r="A106" i="25"/>
  <c r="A105" i="25"/>
  <c r="A104" i="25"/>
  <c r="A103" i="25"/>
  <c r="A102" i="25"/>
  <c r="A101" i="25"/>
  <c r="A100" i="25"/>
  <c r="A99" i="25"/>
  <c r="A98" i="25"/>
  <c r="A97" i="25"/>
  <c r="A96" i="25"/>
  <c r="A95" i="25"/>
  <c r="A94" i="25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A79" i="25"/>
  <c r="A78" i="25"/>
  <c r="A77" i="25"/>
  <c r="A76" i="25"/>
  <c r="A75" i="25"/>
  <c r="A74" i="25"/>
  <c r="A73" i="25"/>
  <c r="A72" i="25"/>
  <c r="A71" i="25"/>
  <c r="A70" i="25"/>
  <c r="A69" i="25"/>
  <c r="A68" i="25"/>
  <c r="A67" i="25"/>
  <c r="A66" i="25"/>
  <c r="A65" i="25"/>
  <c r="A64" i="25"/>
  <c r="A63" i="25"/>
  <c r="A62" i="25"/>
  <c r="A61" i="25"/>
  <c r="A60" i="25"/>
  <c r="A59" i="25"/>
  <c r="A58" i="25"/>
  <c r="A57" i="25"/>
  <c r="A56" i="25"/>
  <c r="A55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436" i="24"/>
  <c r="A435" i="24"/>
  <c r="A434" i="24"/>
  <c r="A433" i="24"/>
  <c r="A432" i="24"/>
  <c r="A431" i="24"/>
  <c r="A430" i="24"/>
  <c r="A429" i="24"/>
  <c r="A428" i="24"/>
  <c r="A427" i="24"/>
  <c r="A426" i="24"/>
  <c r="A425" i="24"/>
  <c r="A424" i="24"/>
  <c r="A423" i="24"/>
  <c r="A422" i="24"/>
  <c r="A421" i="24"/>
  <c r="A420" i="24"/>
  <c r="A419" i="24"/>
  <c r="A418" i="24"/>
  <c r="A417" i="24"/>
  <c r="A416" i="24"/>
  <c r="A415" i="24"/>
  <c r="A414" i="24"/>
  <c r="A413" i="24"/>
  <c r="A412" i="24"/>
  <c r="A411" i="24"/>
  <c r="A410" i="24"/>
  <c r="A409" i="24"/>
  <c r="A408" i="24"/>
  <c r="A407" i="24"/>
  <c r="A406" i="24"/>
  <c r="A405" i="24"/>
  <c r="A404" i="24"/>
  <c r="A403" i="24"/>
  <c r="A402" i="24"/>
  <c r="A401" i="24"/>
  <c r="A400" i="24"/>
  <c r="A399" i="24"/>
  <c r="A398" i="24"/>
  <c r="A397" i="24"/>
  <c r="A396" i="24"/>
  <c r="A395" i="24"/>
  <c r="A394" i="24"/>
  <c r="A393" i="24"/>
  <c r="A392" i="24"/>
  <c r="A391" i="24"/>
  <c r="A390" i="24"/>
  <c r="A389" i="24"/>
  <c r="A388" i="24"/>
  <c r="A387" i="24"/>
  <c r="A386" i="24"/>
  <c r="A385" i="24"/>
  <c r="A384" i="24"/>
  <c r="A383" i="24"/>
  <c r="A382" i="24"/>
  <c r="A381" i="24"/>
  <c r="A380" i="24"/>
  <c r="A379" i="24"/>
  <c r="A378" i="24"/>
  <c r="A377" i="24"/>
  <c r="A376" i="24"/>
  <c r="A375" i="24"/>
  <c r="A374" i="24"/>
  <c r="A373" i="24"/>
  <c r="A372" i="24"/>
  <c r="A371" i="24"/>
  <c r="A370" i="24"/>
  <c r="A369" i="24"/>
  <c r="A368" i="24"/>
  <c r="A367" i="24"/>
  <c r="A366" i="24"/>
  <c r="A365" i="24"/>
  <c r="A364" i="24"/>
  <c r="A363" i="24"/>
  <c r="A362" i="24"/>
  <c r="A361" i="24"/>
  <c r="A360" i="24"/>
  <c r="A359" i="24"/>
  <c r="A358" i="24"/>
  <c r="A357" i="24"/>
  <c r="A356" i="24"/>
  <c r="A355" i="24"/>
  <c r="A354" i="24"/>
  <c r="A353" i="24"/>
  <c r="A352" i="24"/>
  <c r="A351" i="24"/>
  <c r="A350" i="24"/>
  <c r="A349" i="24"/>
  <c r="A348" i="24"/>
  <c r="A347" i="24"/>
  <c r="A346" i="24"/>
  <c r="A345" i="24"/>
  <c r="A344" i="24"/>
  <c r="A343" i="24"/>
  <c r="A342" i="24"/>
  <c r="A341" i="24"/>
  <c r="A340" i="24"/>
  <c r="A339" i="24"/>
  <c r="A338" i="24"/>
  <c r="A337" i="24"/>
  <c r="A336" i="24"/>
  <c r="A335" i="24"/>
  <c r="A334" i="24"/>
  <c r="A333" i="24"/>
  <c r="A332" i="24"/>
  <c r="A331" i="24"/>
  <c r="A330" i="24"/>
  <c r="A329" i="24"/>
  <c r="A328" i="24"/>
  <c r="A327" i="24"/>
  <c r="A326" i="24"/>
  <c r="A325" i="24"/>
  <c r="A324" i="24"/>
  <c r="A323" i="24"/>
  <c r="A322" i="24"/>
  <c r="A321" i="24"/>
  <c r="A320" i="24"/>
  <c r="A319" i="24"/>
  <c r="A318" i="24"/>
  <c r="A317" i="24"/>
  <c r="A316" i="24"/>
  <c r="A315" i="24"/>
  <c r="A314" i="24"/>
  <c r="A313" i="24"/>
  <c r="A312" i="24"/>
  <c r="A311" i="24"/>
  <c r="A310" i="24"/>
  <c r="A309" i="24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436" i="23"/>
  <c r="A435" i="23"/>
  <c r="A434" i="23"/>
  <c r="A433" i="23"/>
  <c r="A432" i="23"/>
  <c r="A431" i="23"/>
  <c r="A430" i="23"/>
  <c r="A429" i="23"/>
  <c r="A428" i="23"/>
  <c r="A427" i="23"/>
  <c r="A426" i="23"/>
  <c r="A425" i="23"/>
  <c r="A424" i="23"/>
  <c r="A423" i="23"/>
  <c r="A422" i="23"/>
  <c r="A421" i="23"/>
  <c r="A420" i="23"/>
  <c r="A419" i="23"/>
  <c r="A418" i="23"/>
  <c r="A417" i="23"/>
  <c r="A416" i="23"/>
  <c r="A415" i="23"/>
  <c r="A414" i="23"/>
  <c r="A413" i="23"/>
  <c r="A412" i="23"/>
  <c r="A411" i="23"/>
  <c r="A410" i="23"/>
  <c r="A409" i="23"/>
  <c r="A408" i="23"/>
  <c r="A407" i="23"/>
  <c r="A406" i="23"/>
  <c r="A405" i="23"/>
  <c r="A404" i="23"/>
  <c r="A403" i="23"/>
  <c r="A402" i="23"/>
  <c r="A401" i="23"/>
  <c r="A400" i="23"/>
  <c r="A399" i="23"/>
  <c r="A398" i="23"/>
  <c r="A397" i="23"/>
  <c r="A396" i="23"/>
  <c r="A395" i="23"/>
  <c r="A394" i="23"/>
  <c r="A393" i="23"/>
  <c r="A392" i="23"/>
  <c r="A391" i="23"/>
  <c r="A390" i="23"/>
  <c r="A389" i="23"/>
  <c r="A388" i="23"/>
  <c r="A387" i="23"/>
  <c r="A386" i="23"/>
  <c r="A385" i="23"/>
  <c r="A384" i="23"/>
  <c r="A383" i="23"/>
  <c r="A382" i="23"/>
  <c r="A381" i="23"/>
  <c r="A380" i="23"/>
  <c r="A379" i="23"/>
  <c r="A378" i="23"/>
  <c r="A377" i="23"/>
  <c r="A376" i="23"/>
  <c r="A375" i="23"/>
  <c r="A374" i="23"/>
  <c r="A373" i="23"/>
  <c r="A372" i="23"/>
  <c r="A371" i="23"/>
  <c r="A370" i="23"/>
  <c r="A369" i="23"/>
  <c r="A368" i="23"/>
  <c r="A367" i="23"/>
  <c r="A366" i="23"/>
  <c r="A365" i="23"/>
  <c r="A364" i="23"/>
  <c r="A363" i="23"/>
  <c r="A362" i="23"/>
  <c r="A361" i="23"/>
  <c r="A360" i="23"/>
  <c r="A359" i="23"/>
  <c r="A358" i="23"/>
  <c r="A357" i="23"/>
  <c r="A356" i="23"/>
  <c r="A355" i="23"/>
  <c r="A354" i="23"/>
  <c r="A353" i="23"/>
  <c r="A352" i="23"/>
  <c r="A351" i="23"/>
  <c r="A350" i="23"/>
  <c r="A349" i="23"/>
  <c r="A348" i="23"/>
  <c r="A347" i="23"/>
  <c r="A346" i="23"/>
  <c r="A345" i="23"/>
  <c r="A344" i="23"/>
  <c r="A343" i="23"/>
  <c r="A342" i="23"/>
  <c r="A341" i="23"/>
  <c r="A340" i="23"/>
  <c r="A339" i="23"/>
  <c r="A338" i="23"/>
  <c r="A337" i="23"/>
  <c r="A336" i="23"/>
  <c r="A335" i="23"/>
  <c r="A334" i="23"/>
  <c r="A333" i="23"/>
  <c r="A332" i="23"/>
  <c r="A331" i="23"/>
  <c r="A330" i="23"/>
  <c r="A329" i="23"/>
  <c r="A328" i="23"/>
  <c r="A327" i="23"/>
  <c r="A326" i="23"/>
  <c r="A325" i="23"/>
  <c r="A324" i="23"/>
  <c r="A323" i="23"/>
  <c r="A322" i="23"/>
  <c r="A321" i="23"/>
  <c r="A320" i="23"/>
  <c r="A319" i="23"/>
  <c r="A318" i="23"/>
  <c r="A317" i="23"/>
  <c r="A316" i="23"/>
  <c r="A315" i="23"/>
  <c r="A314" i="23"/>
  <c r="A313" i="23"/>
  <c r="A312" i="23"/>
  <c r="A311" i="23"/>
  <c r="A310" i="23"/>
  <c r="A309" i="23"/>
  <c r="A308" i="23"/>
  <c r="A307" i="23"/>
  <c r="A306" i="23"/>
  <c r="A305" i="23"/>
  <c r="A304" i="23"/>
  <c r="A303" i="23"/>
  <c r="A302" i="23"/>
  <c r="A301" i="23"/>
  <c r="A300" i="23"/>
  <c r="A299" i="23"/>
  <c r="A298" i="23"/>
  <c r="A297" i="23"/>
  <c r="A296" i="23"/>
  <c r="A295" i="23"/>
  <c r="A294" i="23"/>
  <c r="A293" i="23"/>
  <c r="A292" i="23"/>
  <c r="A291" i="23"/>
  <c r="A290" i="23"/>
  <c r="A289" i="23"/>
  <c r="A288" i="23"/>
  <c r="A287" i="23"/>
  <c r="A286" i="23"/>
  <c r="A285" i="23"/>
  <c r="A284" i="23"/>
  <c r="A283" i="23"/>
  <c r="A282" i="23"/>
  <c r="A281" i="23"/>
  <c r="A280" i="23"/>
  <c r="A279" i="23"/>
  <c r="A278" i="23"/>
  <c r="A277" i="23"/>
  <c r="A276" i="23"/>
  <c r="A275" i="23"/>
  <c r="A274" i="23"/>
  <c r="A273" i="23"/>
  <c r="A272" i="23"/>
  <c r="A271" i="23"/>
  <c r="A270" i="23"/>
  <c r="A269" i="23"/>
  <c r="A268" i="23"/>
  <c r="A267" i="23"/>
  <c r="A266" i="23"/>
  <c r="A265" i="23"/>
  <c r="A264" i="23"/>
  <c r="A263" i="23"/>
  <c r="A262" i="23"/>
  <c r="A261" i="23"/>
  <c r="A260" i="23"/>
  <c r="A259" i="23"/>
  <c r="A258" i="23"/>
  <c r="A257" i="23"/>
  <c r="A256" i="23"/>
  <c r="A255" i="23"/>
  <c r="A254" i="23"/>
  <c r="A253" i="23"/>
  <c r="A252" i="23"/>
  <c r="A251" i="23"/>
  <c r="A250" i="23"/>
  <c r="A249" i="23"/>
  <c r="A248" i="23"/>
  <c r="A247" i="23"/>
  <c r="A246" i="23"/>
  <c r="A245" i="23"/>
  <c r="A244" i="23"/>
  <c r="A243" i="23"/>
  <c r="A242" i="23"/>
  <c r="A241" i="23"/>
  <c r="A240" i="23"/>
  <c r="A239" i="23"/>
  <c r="A238" i="23"/>
  <c r="A237" i="23"/>
  <c r="A236" i="23"/>
  <c r="A235" i="23"/>
  <c r="A234" i="23"/>
  <c r="A233" i="23"/>
  <c r="A232" i="23"/>
  <c r="A231" i="23"/>
  <c r="A230" i="23"/>
  <c r="A229" i="23"/>
  <c r="A228" i="23"/>
  <c r="A227" i="23"/>
  <c r="A226" i="23"/>
  <c r="A225" i="23"/>
  <c r="A224" i="23"/>
  <c r="A223" i="23"/>
  <c r="A222" i="23"/>
  <c r="A221" i="23"/>
  <c r="A220" i="23"/>
  <c r="A219" i="23"/>
  <c r="A218" i="23"/>
  <c r="A217" i="23"/>
  <c r="A216" i="23"/>
  <c r="A215" i="23"/>
  <c r="A214" i="23"/>
  <c r="A213" i="23"/>
  <c r="A212" i="23"/>
  <c r="A211" i="23"/>
  <c r="A210" i="23"/>
  <c r="A209" i="23"/>
  <c r="A208" i="23"/>
  <c r="A207" i="23"/>
  <c r="A206" i="23"/>
  <c r="A205" i="23"/>
  <c r="A204" i="23"/>
  <c r="A203" i="23"/>
  <c r="A202" i="23"/>
  <c r="A201" i="23"/>
  <c r="A200" i="23"/>
  <c r="A199" i="23"/>
  <c r="A198" i="23"/>
  <c r="A197" i="23"/>
  <c r="A196" i="23"/>
  <c r="A195" i="23"/>
  <c r="A194" i="23"/>
  <c r="A193" i="23"/>
  <c r="A192" i="23"/>
  <c r="A191" i="23"/>
  <c r="A190" i="23"/>
  <c r="A189" i="23"/>
  <c r="A188" i="23"/>
  <c r="A187" i="23"/>
  <c r="A186" i="23"/>
  <c r="A185" i="23"/>
  <c r="A184" i="23"/>
  <c r="A183" i="23"/>
  <c r="A182" i="23"/>
  <c r="A181" i="23"/>
  <c r="A180" i="23"/>
  <c r="A179" i="23"/>
  <c r="A178" i="23"/>
  <c r="A177" i="23"/>
  <c r="A176" i="23"/>
  <c r="A175" i="23"/>
  <c r="A174" i="23"/>
  <c r="A173" i="23"/>
  <c r="A172" i="23"/>
  <c r="A171" i="23"/>
  <c r="A170" i="23"/>
  <c r="A169" i="23"/>
  <c r="A168" i="23"/>
  <c r="A167" i="23"/>
  <c r="A166" i="23"/>
  <c r="A165" i="23"/>
  <c r="A164" i="23"/>
  <c r="A163" i="23"/>
  <c r="A162" i="23"/>
  <c r="A161" i="23"/>
  <c r="A160" i="23"/>
  <c r="A159" i="23"/>
  <c r="A158" i="23"/>
  <c r="A157" i="23"/>
  <c r="A156" i="23"/>
  <c r="A155" i="23"/>
  <c r="A154" i="23"/>
  <c r="A153" i="23"/>
  <c r="A152" i="23"/>
  <c r="A151" i="23"/>
  <c r="A150" i="23"/>
  <c r="A149" i="23"/>
  <c r="A148" i="23"/>
  <c r="A147" i="23"/>
  <c r="A146" i="23"/>
  <c r="A145" i="23"/>
  <c r="A144" i="23"/>
  <c r="A143" i="23"/>
  <c r="A142" i="23"/>
  <c r="A141" i="23"/>
  <c r="A140" i="23"/>
  <c r="A139" i="23"/>
  <c r="A138" i="23"/>
  <c r="A137" i="23"/>
  <c r="A136" i="23"/>
  <c r="A135" i="23"/>
  <c r="A134" i="23"/>
  <c r="A133" i="23"/>
  <c r="A132" i="23"/>
  <c r="A131" i="23"/>
  <c r="A130" i="23"/>
  <c r="A129" i="23"/>
  <c r="A128" i="23"/>
  <c r="A127" i="23"/>
  <c r="A126" i="23"/>
  <c r="A125" i="23"/>
  <c r="A124" i="23"/>
  <c r="A123" i="23"/>
  <c r="A122" i="23"/>
  <c r="A121" i="23"/>
  <c r="A120" i="23"/>
  <c r="A119" i="23"/>
  <c r="A118" i="23"/>
  <c r="A117" i="23"/>
  <c r="A116" i="23"/>
  <c r="A115" i="23"/>
  <c r="A114" i="23"/>
  <c r="A113" i="23"/>
  <c r="A112" i="23"/>
  <c r="A111" i="23"/>
  <c r="A110" i="23"/>
  <c r="A109" i="23"/>
  <c r="A108" i="23"/>
  <c r="A107" i="23"/>
  <c r="A106" i="23"/>
  <c r="A105" i="23"/>
  <c r="A104" i="23"/>
  <c r="A103" i="23"/>
  <c r="A102" i="23"/>
  <c r="A101" i="23"/>
  <c r="A100" i="23"/>
  <c r="A99" i="23"/>
  <c r="A98" i="23"/>
  <c r="A97" i="23"/>
  <c r="A96" i="23"/>
  <c r="A95" i="23"/>
  <c r="A94" i="23"/>
  <c r="A93" i="23"/>
  <c r="A92" i="23"/>
  <c r="A91" i="23"/>
  <c r="A90" i="23"/>
  <c r="A89" i="23"/>
  <c r="A88" i="23"/>
  <c r="A87" i="23"/>
  <c r="A86" i="23"/>
  <c r="A85" i="23"/>
  <c r="A84" i="23"/>
  <c r="A83" i="23"/>
  <c r="A82" i="23"/>
  <c r="A81" i="23"/>
  <c r="A80" i="23"/>
  <c r="A79" i="23"/>
  <c r="A78" i="23"/>
  <c r="A77" i="23"/>
  <c r="A76" i="23"/>
  <c r="A75" i="23"/>
  <c r="A74" i="23"/>
  <c r="A73" i="23"/>
  <c r="A72" i="23"/>
  <c r="A71" i="23"/>
  <c r="A70" i="23"/>
  <c r="A69" i="23"/>
  <c r="A68" i="23"/>
  <c r="A67" i="23"/>
  <c r="A66" i="23"/>
  <c r="A65" i="23"/>
  <c r="A64" i="23"/>
  <c r="A63" i="23"/>
  <c r="A62" i="23"/>
  <c r="A61" i="23"/>
  <c r="A60" i="23"/>
  <c r="A59" i="23"/>
  <c r="A58" i="23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436" i="21"/>
  <c r="A435" i="21"/>
  <c r="A434" i="21"/>
  <c r="A433" i="21"/>
  <c r="A432" i="21"/>
  <c r="A431" i="21"/>
  <c r="A430" i="21"/>
  <c r="A429" i="21"/>
  <c r="A428" i="21"/>
  <c r="A427" i="21"/>
  <c r="A426" i="21"/>
  <c r="A425" i="21"/>
  <c r="A424" i="21"/>
  <c r="A423" i="21"/>
  <c r="A422" i="21"/>
  <c r="A421" i="21"/>
  <c r="A420" i="21"/>
  <c r="A419" i="21"/>
  <c r="A418" i="21"/>
  <c r="A417" i="21"/>
  <c r="A416" i="21"/>
  <c r="A415" i="21"/>
  <c r="A414" i="21"/>
  <c r="A413" i="21"/>
  <c r="A412" i="21"/>
  <c r="A411" i="21"/>
  <c r="A410" i="21"/>
  <c r="A409" i="21"/>
  <c r="A408" i="21"/>
  <c r="A407" i="21"/>
  <c r="A406" i="21"/>
  <c r="A405" i="21"/>
  <c r="A404" i="21"/>
  <c r="A403" i="21"/>
  <c r="A402" i="21"/>
  <c r="A401" i="21"/>
  <c r="A400" i="21"/>
  <c r="A399" i="21"/>
  <c r="A398" i="21"/>
  <c r="A397" i="21"/>
  <c r="A396" i="21"/>
  <c r="A395" i="21"/>
  <c r="A394" i="21"/>
  <c r="A393" i="21"/>
  <c r="A392" i="21"/>
  <c r="A391" i="21"/>
  <c r="A390" i="21"/>
  <c r="A389" i="21"/>
  <c r="A388" i="21"/>
  <c r="A387" i="21"/>
  <c r="A386" i="21"/>
  <c r="A385" i="21"/>
  <c r="A384" i="21"/>
  <c r="A383" i="21"/>
  <c r="A382" i="21"/>
  <c r="A381" i="21"/>
  <c r="A380" i="21"/>
  <c r="A379" i="21"/>
  <c r="A378" i="21"/>
  <c r="A377" i="21"/>
  <c r="A376" i="21"/>
  <c r="A375" i="21"/>
  <c r="A374" i="21"/>
  <c r="A373" i="21"/>
  <c r="A372" i="21"/>
  <c r="A371" i="21"/>
  <c r="A370" i="21"/>
  <c r="A369" i="21"/>
  <c r="A368" i="21"/>
  <c r="A367" i="21"/>
  <c r="A366" i="21"/>
  <c r="A365" i="21"/>
  <c r="A364" i="21"/>
  <c r="A363" i="21"/>
  <c r="A362" i="21"/>
  <c r="A361" i="21"/>
  <c r="A360" i="21"/>
  <c r="A359" i="21"/>
  <c r="A358" i="21"/>
  <c r="A357" i="21"/>
  <c r="A356" i="21"/>
  <c r="A355" i="21"/>
  <c r="A354" i="21"/>
  <c r="A353" i="21"/>
  <c r="A352" i="21"/>
  <c r="A351" i="21"/>
  <c r="A350" i="21"/>
  <c r="A349" i="21"/>
  <c r="A348" i="21"/>
  <c r="A347" i="21"/>
  <c r="A346" i="21"/>
  <c r="A345" i="21"/>
  <c r="A344" i="21"/>
  <c r="A343" i="21"/>
  <c r="A342" i="21"/>
  <c r="A341" i="21"/>
  <c r="A340" i="21"/>
  <c r="A339" i="21"/>
  <c r="A338" i="21"/>
  <c r="A337" i="21"/>
  <c r="A336" i="21"/>
  <c r="A335" i="21"/>
  <c r="A334" i="21"/>
  <c r="A333" i="21"/>
  <c r="A332" i="21"/>
  <c r="A331" i="21"/>
  <c r="A330" i="21"/>
  <c r="A329" i="21"/>
  <c r="A328" i="21"/>
  <c r="A327" i="21"/>
  <c r="A326" i="21"/>
  <c r="A325" i="21"/>
  <c r="A324" i="21"/>
  <c r="A323" i="21"/>
  <c r="A322" i="21"/>
  <c r="A321" i="21"/>
  <c r="A320" i="21"/>
  <c r="A319" i="21"/>
  <c r="A318" i="21"/>
  <c r="A317" i="21"/>
  <c r="A316" i="21"/>
  <c r="A315" i="21"/>
  <c r="A314" i="21"/>
  <c r="A313" i="21"/>
  <c r="A312" i="21"/>
  <c r="A311" i="21"/>
  <c r="A310" i="21"/>
  <c r="A309" i="21"/>
  <c r="A308" i="21"/>
  <c r="A307" i="21"/>
  <c r="A306" i="21"/>
  <c r="A305" i="21"/>
  <c r="A304" i="21"/>
  <c r="A303" i="21"/>
  <c r="A302" i="21"/>
  <c r="A301" i="21"/>
  <c r="A300" i="21"/>
  <c r="A299" i="21"/>
  <c r="A298" i="21"/>
  <c r="A297" i="21"/>
  <c r="A296" i="21"/>
  <c r="A295" i="21"/>
  <c r="A294" i="21"/>
  <c r="A293" i="21"/>
  <c r="A292" i="21"/>
  <c r="A291" i="21"/>
  <c r="A290" i="21"/>
  <c r="A289" i="21"/>
  <c r="A288" i="21"/>
  <c r="A287" i="21"/>
  <c r="A286" i="21"/>
  <c r="A285" i="21"/>
  <c r="A284" i="21"/>
  <c r="A283" i="21"/>
  <c r="A282" i="21"/>
  <c r="A281" i="21"/>
  <c r="A280" i="21"/>
  <c r="A279" i="21"/>
  <c r="A278" i="21"/>
  <c r="A277" i="21"/>
  <c r="A276" i="21"/>
  <c r="A275" i="21"/>
  <c r="A274" i="21"/>
  <c r="A273" i="21"/>
  <c r="A272" i="21"/>
  <c r="A271" i="21"/>
  <c r="A270" i="21"/>
  <c r="A269" i="21"/>
  <c r="A268" i="21"/>
  <c r="A267" i="21"/>
  <c r="A266" i="21"/>
  <c r="A265" i="21"/>
  <c r="A264" i="21"/>
  <c r="A263" i="21"/>
  <c r="A262" i="21"/>
  <c r="A261" i="21"/>
  <c r="A260" i="21"/>
  <c r="A259" i="21"/>
  <c r="A258" i="21"/>
  <c r="A257" i="21"/>
  <c r="A256" i="21"/>
  <c r="A255" i="21"/>
  <c r="A254" i="21"/>
  <c r="A253" i="21"/>
  <c r="A252" i="21"/>
  <c r="A251" i="21"/>
  <c r="A250" i="21"/>
  <c r="A249" i="21"/>
  <c r="A248" i="21"/>
  <c r="A247" i="21"/>
  <c r="A246" i="21"/>
  <c r="A245" i="21"/>
  <c r="A244" i="21"/>
  <c r="A243" i="21"/>
  <c r="A242" i="21"/>
  <c r="A241" i="21"/>
  <c r="A240" i="21"/>
  <c r="A239" i="21"/>
  <c r="A238" i="21"/>
  <c r="A237" i="21"/>
  <c r="A236" i="21"/>
  <c r="A235" i="21"/>
  <c r="A234" i="21"/>
  <c r="A233" i="2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183" i="21"/>
  <c r="A182" i="21"/>
  <c r="A181" i="21"/>
  <c r="A180" i="21"/>
  <c r="A179" i="21"/>
  <c r="A178" i="21"/>
  <c r="A177" i="21"/>
  <c r="A176" i="21"/>
  <c r="A175" i="21"/>
  <c r="A174" i="21"/>
  <c r="A173" i="21"/>
  <c r="A172" i="21"/>
  <c r="A171" i="21"/>
  <c r="A170" i="21"/>
  <c r="A169" i="21"/>
  <c r="A168" i="21"/>
  <c r="A167" i="21"/>
  <c r="A166" i="21"/>
  <c r="A165" i="21"/>
  <c r="A164" i="21"/>
  <c r="A163" i="21"/>
  <c r="A162" i="21"/>
  <c r="A161" i="21"/>
  <c r="A160" i="21"/>
  <c r="A159" i="21"/>
  <c r="A158" i="21"/>
  <c r="A157" i="21"/>
  <c r="A156" i="21"/>
  <c r="A155" i="21"/>
  <c r="A154" i="21"/>
  <c r="A153" i="21"/>
  <c r="A152" i="21"/>
  <c r="A151" i="21"/>
  <c r="A150" i="21"/>
  <c r="A149" i="21"/>
  <c r="A148" i="21"/>
  <c r="A147" i="21"/>
  <c r="A146" i="21"/>
  <c r="A145" i="21"/>
  <c r="A144" i="21"/>
  <c r="A143" i="21"/>
  <c r="A142" i="21"/>
  <c r="A141" i="21"/>
  <c r="A140" i="21"/>
  <c r="A139" i="21"/>
  <c r="A138" i="21"/>
  <c r="A137" i="21"/>
  <c r="A136" i="21"/>
  <c r="A135" i="21"/>
  <c r="A134" i="21"/>
  <c r="A133" i="21"/>
  <c r="A132" i="21"/>
  <c r="A131" i="21"/>
  <c r="A130" i="21"/>
  <c r="A129" i="21"/>
  <c r="A128" i="21"/>
  <c r="A127" i="21"/>
  <c r="A126" i="21"/>
  <c r="A125" i="21"/>
  <c r="A124" i="21"/>
  <c r="A123" i="21"/>
  <c r="A122" i="21"/>
  <c r="A121" i="21"/>
  <c r="A120" i="21"/>
  <c r="A119" i="21"/>
  <c r="A118" i="21"/>
  <c r="A117" i="21"/>
  <c r="A116" i="21"/>
  <c r="A115" i="21"/>
  <c r="A114" i="21"/>
  <c r="A113" i="21"/>
  <c r="A112" i="21"/>
  <c r="A111" i="21"/>
  <c r="A110" i="21"/>
  <c r="A109" i="21"/>
  <c r="A108" i="21"/>
  <c r="A107" i="21"/>
  <c r="A106" i="21"/>
  <c r="A105" i="21"/>
  <c r="A104" i="21"/>
  <c r="A103" i="21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436" i="20"/>
  <c r="A435" i="20"/>
  <c r="A434" i="20"/>
  <c r="A433" i="20"/>
  <c r="A432" i="20"/>
  <c r="A431" i="20"/>
  <c r="A430" i="20"/>
  <c r="A429" i="20"/>
  <c r="A428" i="20"/>
  <c r="A427" i="20"/>
  <c r="A426" i="20"/>
  <c r="A425" i="20"/>
  <c r="A424" i="20"/>
  <c r="A423" i="20"/>
  <c r="A422" i="20"/>
  <c r="A421" i="20"/>
  <c r="A420" i="20"/>
  <c r="A419" i="20"/>
  <c r="A418" i="20"/>
  <c r="A417" i="20"/>
  <c r="A416" i="20"/>
  <c r="A415" i="20"/>
  <c r="A414" i="20"/>
  <c r="A413" i="20"/>
  <c r="A412" i="20"/>
  <c r="A411" i="20"/>
  <c r="A410" i="20"/>
  <c r="A409" i="20"/>
  <c r="A408" i="20"/>
  <c r="A407" i="20"/>
  <c r="A406" i="20"/>
  <c r="A405" i="20"/>
  <c r="A404" i="20"/>
  <c r="A403" i="20"/>
  <c r="A402" i="20"/>
  <c r="A401" i="20"/>
  <c r="A400" i="20"/>
  <c r="A399" i="20"/>
  <c r="A398" i="20"/>
  <c r="A397" i="20"/>
  <c r="A396" i="20"/>
  <c r="A395" i="20"/>
  <c r="A394" i="20"/>
  <c r="A393" i="20"/>
  <c r="A392" i="20"/>
  <c r="A391" i="20"/>
  <c r="A390" i="20"/>
  <c r="A389" i="20"/>
  <c r="A388" i="20"/>
  <c r="A387" i="20"/>
  <c r="A386" i="20"/>
  <c r="A385" i="20"/>
  <c r="A384" i="20"/>
  <c r="A383" i="20"/>
  <c r="A382" i="20"/>
  <c r="A381" i="20"/>
  <c r="A380" i="20"/>
  <c r="A379" i="20"/>
  <c r="A378" i="20"/>
  <c r="A377" i="20"/>
  <c r="A376" i="20"/>
  <c r="A375" i="20"/>
  <c r="A374" i="20"/>
  <c r="A373" i="20"/>
  <c r="A372" i="20"/>
  <c r="A371" i="20"/>
  <c r="A370" i="20"/>
  <c r="A369" i="20"/>
  <c r="A368" i="20"/>
  <c r="A367" i="20"/>
  <c r="A366" i="20"/>
  <c r="A365" i="20"/>
  <c r="A364" i="20"/>
  <c r="A363" i="20"/>
  <c r="A362" i="20"/>
  <c r="A361" i="20"/>
  <c r="A360" i="20"/>
  <c r="A359" i="20"/>
  <c r="A358" i="20"/>
  <c r="A357" i="20"/>
  <c r="A356" i="20"/>
  <c r="A355" i="20"/>
  <c r="A354" i="20"/>
  <c r="A353" i="20"/>
  <c r="A352" i="20"/>
  <c r="A351" i="20"/>
  <c r="A350" i="20"/>
  <c r="A349" i="20"/>
  <c r="A348" i="20"/>
  <c r="A347" i="20"/>
  <c r="A346" i="20"/>
  <c r="A345" i="20"/>
  <c r="A344" i="20"/>
  <c r="A343" i="20"/>
  <c r="A342" i="20"/>
  <c r="A341" i="20"/>
  <c r="A340" i="20"/>
  <c r="A339" i="20"/>
  <c r="A338" i="20"/>
  <c r="A337" i="20"/>
  <c r="A336" i="20"/>
  <c r="A335" i="20"/>
  <c r="A334" i="20"/>
  <c r="A333" i="20"/>
  <c r="A332" i="20"/>
  <c r="A331" i="20"/>
  <c r="A330" i="20"/>
  <c r="A329" i="20"/>
  <c r="A328" i="20"/>
  <c r="A327" i="20"/>
  <c r="A326" i="20"/>
  <c r="A325" i="20"/>
  <c r="A324" i="20"/>
  <c r="A323" i="20"/>
  <c r="A322" i="20"/>
  <c r="A321" i="20"/>
  <c r="A320" i="20"/>
  <c r="A319" i="20"/>
  <c r="A318" i="20"/>
  <c r="A317" i="20"/>
  <c r="A316" i="20"/>
  <c r="A315" i="20"/>
  <c r="A314" i="20"/>
  <c r="A313" i="20"/>
  <c r="A312" i="20"/>
  <c r="A311" i="20"/>
  <c r="A310" i="20"/>
  <c r="A309" i="20"/>
  <c r="A308" i="20"/>
  <c r="A307" i="20"/>
  <c r="A306" i="20"/>
  <c r="A305" i="20"/>
  <c r="A304" i="20"/>
  <c r="A303" i="20"/>
  <c r="A302" i="20"/>
  <c r="A301" i="20"/>
  <c r="A300" i="20"/>
  <c r="A299" i="20"/>
  <c r="A298" i="20"/>
  <c r="A297" i="20"/>
  <c r="A296" i="20"/>
  <c r="A295" i="20"/>
  <c r="A294" i="20"/>
  <c r="A293" i="20"/>
  <c r="A292" i="20"/>
  <c r="A291" i="20"/>
  <c r="A290" i="20"/>
  <c r="A289" i="20"/>
  <c r="A288" i="20"/>
  <c r="A287" i="20"/>
  <c r="A286" i="20"/>
  <c r="A285" i="20"/>
  <c r="A284" i="20"/>
  <c r="A283" i="20"/>
  <c r="A282" i="20"/>
  <c r="A281" i="20"/>
  <c r="A280" i="20"/>
  <c r="A279" i="20"/>
  <c r="A278" i="20"/>
  <c r="A277" i="20"/>
  <c r="A276" i="20"/>
  <c r="A275" i="20"/>
  <c r="A274" i="20"/>
  <c r="A273" i="20"/>
  <c r="A272" i="20"/>
  <c r="A271" i="20"/>
  <c r="A270" i="20"/>
  <c r="A269" i="20"/>
  <c r="A268" i="20"/>
  <c r="A267" i="20"/>
  <c r="A266" i="20"/>
  <c r="A265" i="20"/>
  <c r="A264" i="20"/>
  <c r="A263" i="20"/>
  <c r="A262" i="20"/>
  <c r="A261" i="20"/>
  <c r="A260" i="20"/>
  <c r="A259" i="20"/>
  <c r="A258" i="20"/>
  <c r="A257" i="20"/>
  <c r="A256" i="20"/>
  <c r="A255" i="20"/>
  <c r="A254" i="20"/>
  <c r="A253" i="20"/>
  <c r="A252" i="20"/>
  <c r="A251" i="20"/>
  <c r="A250" i="20"/>
  <c r="A249" i="20"/>
  <c r="A248" i="20"/>
  <c r="A247" i="20"/>
  <c r="A246" i="20"/>
  <c r="A245" i="20"/>
  <c r="A244" i="20"/>
  <c r="A243" i="20"/>
  <c r="A242" i="20"/>
  <c r="A241" i="20"/>
  <c r="A240" i="20"/>
  <c r="A239" i="20"/>
  <c r="A238" i="20"/>
  <c r="A237" i="20"/>
  <c r="A236" i="20"/>
  <c r="A235" i="20"/>
  <c r="A234" i="20"/>
  <c r="A233" i="20"/>
  <c r="A232" i="20"/>
  <c r="A231" i="20"/>
  <c r="A230" i="20"/>
  <c r="A229" i="20"/>
  <c r="A228" i="20"/>
  <c r="A227" i="20"/>
  <c r="A226" i="20"/>
  <c r="A225" i="20"/>
  <c r="A224" i="20"/>
  <c r="A223" i="20"/>
  <c r="A222" i="20"/>
  <c r="A221" i="20"/>
  <c r="A220" i="20"/>
  <c r="A219" i="20"/>
  <c r="A218" i="20"/>
  <c r="A217" i="20"/>
  <c r="A216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198" i="20"/>
  <c r="A197" i="20"/>
  <c r="A196" i="20"/>
  <c r="A195" i="20"/>
  <c r="A194" i="20"/>
  <c r="A193" i="20"/>
  <c r="A192" i="20"/>
  <c r="A191" i="20"/>
  <c r="A190" i="20"/>
  <c r="A189" i="20"/>
  <c r="A188" i="20"/>
  <c r="A187" i="20"/>
  <c r="A186" i="20"/>
  <c r="A185" i="20"/>
  <c r="A184" i="20"/>
  <c r="A183" i="20"/>
  <c r="A182" i="20"/>
  <c r="A181" i="20"/>
  <c r="A180" i="20"/>
  <c r="A179" i="20"/>
  <c r="A178" i="20"/>
  <c r="A177" i="20"/>
  <c r="A176" i="20"/>
  <c r="A175" i="20"/>
  <c r="A174" i="20"/>
  <c r="A173" i="20"/>
  <c r="A172" i="20"/>
  <c r="A171" i="20"/>
  <c r="A170" i="20"/>
  <c r="A169" i="20"/>
  <c r="A168" i="20"/>
  <c r="A167" i="20"/>
  <c r="A166" i="20"/>
  <c r="A165" i="20"/>
  <c r="A164" i="20"/>
  <c r="A163" i="20"/>
  <c r="A162" i="20"/>
  <c r="A161" i="20"/>
  <c r="A160" i="20"/>
  <c r="A159" i="20"/>
  <c r="A158" i="20"/>
  <c r="A157" i="20"/>
  <c r="A156" i="20"/>
  <c r="A155" i="20"/>
  <c r="A154" i="20"/>
  <c r="A153" i="20"/>
  <c r="A152" i="20"/>
  <c r="A151" i="20"/>
  <c r="A150" i="20"/>
  <c r="A149" i="20"/>
  <c r="A148" i="20"/>
  <c r="A147" i="20"/>
  <c r="A146" i="20"/>
  <c r="A145" i="20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A129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A116" i="20"/>
  <c r="A115" i="20"/>
  <c r="A114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436" i="19"/>
  <c r="A435" i="19"/>
  <c r="A434" i="19"/>
  <c r="A433" i="19"/>
  <c r="A432" i="19"/>
  <c r="A431" i="19"/>
  <c r="A430" i="19"/>
  <c r="A429" i="19"/>
  <c r="A428" i="19"/>
  <c r="A427" i="19"/>
  <c r="A426" i="19"/>
  <c r="A425" i="19"/>
  <c r="A424" i="19"/>
  <c r="A423" i="19"/>
  <c r="A422" i="19"/>
  <c r="A421" i="19"/>
  <c r="A420" i="19"/>
  <c r="A419" i="19"/>
  <c r="A418" i="19"/>
  <c r="A417" i="19"/>
  <c r="A416" i="19"/>
  <c r="A415" i="19"/>
  <c r="A414" i="19"/>
  <c r="A413" i="19"/>
  <c r="A412" i="19"/>
  <c r="A411" i="19"/>
  <c r="A410" i="19"/>
  <c r="A409" i="19"/>
  <c r="A408" i="19"/>
  <c r="A407" i="19"/>
  <c r="A406" i="19"/>
  <c r="A405" i="19"/>
  <c r="A404" i="19"/>
  <c r="A403" i="19"/>
  <c r="A402" i="19"/>
  <c r="A401" i="19"/>
  <c r="A400" i="19"/>
  <c r="A399" i="19"/>
  <c r="A398" i="19"/>
  <c r="A397" i="19"/>
  <c r="A396" i="19"/>
  <c r="A395" i="19"/>
  <c r="A394" i="19"/>
  <c r="A393" i="19"/>
  <c r="A392" i="19"/>
  <c r="A391" i="19"/>
  <c r="A390" i="19"/>
  <c r="A389" i="19"/>
  <c r="A388" i="19"/>
  <c r="A387" i="19"/>
  <c r="A386" i="19"/>
  <c r="A385" i="19"/>
  <c r="A384" i="19"/>
  <c r="A383" i="19"/>
  <c r="A382" i="19"/>
  <c r="A381" i="19"/>
  <c r="A380" i="19"/>
  <c r="A379" i="19"/>
  <c r="A378" i="19"/>
  <c r="A377" i="19"/>
  <c r="A376" i="19"/>
  <c r="A375" i="19"/>
  <c r="A374" i="19"/>
  <c r="A373" i="19"/>
  <c r="A372" i="19"/>
  <c r="A371" i="19"/>
  <c r="A370" i="19"/>
  <c r="A369" i="19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318" i="19"/>
  <c r="A317" i="19"/>
  <c r="A316" i="19"/>
  <c r="A315" i="19"/>
  <c r="A314" i="19"/>
  <c r="A313" i="19"/>
  <c r="A312" i="19"/>
  <c r="A311" i="19"/>
  <c r="A310" i="19"/>
  <c r="A309" i="19"/>
  <c r="A308" i="19"/>
  <c r="A307" i="19"/>
  <c r="A306" i="19"/>
  <c r="A305" i="19"/>
  <c r="A304" i="19"/>
  <c r="A303" i="19"/>
  <c r="A302" i="19"/>
  <c r="A301" i="19"/>
  <c r="A300" i="19"/>
  <c r="A299" i="19"/>
  <c r="A298" i="19"/>
  <c r="A297" i="19"/>
  <c r="A296" i="19"/>
  <c r="A295" i="19"/>
  <c r="A294" i="19"/>
  <c r="A293" i="19"/>
  <c r="A292" i="19"/>
  <c r="A291" i="19"/>
  <c r="A290" i="19"/>
  <c r="A289" i="19"/>
  <c r="A288" i="19"/>
  <c r="A287" i="19"/>
  <c r="A286" i="19"/>
  <c r="A285" i="19"/>
  <c r="A284" i="19"/>
  <c r="A283" i="19"/>
  <c r="A282" i="19"/>
  <c r="A281" i="19"/>
  <c r="A280" i="19"/>
  <c r="A279" i="19"/>
  <c r="A278" i="19"/>
  <c r="A277" i="19"/>
  <c r="A276" i="19"/>
  <c r="A275" i="19"/>
  <c r="A274" i="19"/>
  <c r="A273" i="19"/>
  <c r="A272" i="19"/>
  <c r="A271" i="19"/>
  <c r="A270" i="19"/>
  <c r="A269" i="19"/>
  <c r="A268" i="19"/>
  <c r="A267" i="19"/>
  <c r="A266" i="19"/>
  <c r="A265" i="19"/>
  <c r="A264" i="19"/>
  <c r="A263" i="19"/>
  <c r="A262" i="19"/>
  <c r="A261" i="19"/>
  <c r="A260" i="19"/>
  <c r="A259" i="19"/>
  <c r="A258" i="19"/>
  <c r="A257" i="19"/>
  <c r="A256" i="19"/>
  <c r="A255" i="19"/>
  <c r="A254" i="19"/>
  <c r="A253" i="19"/>
  <c r="A252" i="19"/>
  <c r="A251" i="19"/>
  <c r="A250" i="19"/>
  <c r="A249" i="19"/>
  <c r="A248" i="19"/>
  <c r="A247" i="19"/>
  <c r="A246" i="19"/>
  <c r="A245" i="19"/>
  <c r="A244" i="19"/>
  <c r="A243" i="19"/>
  <c r="A242" i="19"/>
  <c r="A241" i="19"/>
  <c r="A240" i="19"/>
  <c r="A239" i="19"/>
  <c r="A238" i="19"/>
  <c r="A237" i="19"/>
  <c r="A236" i="19"/>
  <c r="A235" i="19"/>
  <c r="A234" i="19"/>
  <c r="A233" i="19"/>
  <c r="A232" i="19"/>
  <c r="A231" i="19"/>
  <c r="A230" i="19"/>
  <c r="A229" i="19"/>
  <c r="A228" i="19"/>
  <c r="A227" i="19"/>
  <c r="A226" i="19"/>
  <c r="A225" i="19"/>
  <c r="A224" i="19"/>
  <c r="A223" i="19"/>
  <c r="A222" i="19"/>
  <c r="A221" i="19"/>
  <c r="A220" i="19"/>
  <c r="A219" i="19"/>
  <c r="A218" i="19"/>
  <c r="A217" i="19"/>
  <c r="A216" i="19"/>
  <c r="A215" i="19"/>
  <c r="A214" i="19"/>
  <c r="A213" i="19"/>
  <c r="A212" i="19"/>
  <c r="A211" i="19"/>
  <c r="A210" i="19"/>
  <c r="A209" i="19"/>
  <c r="A208" i="19"/>
  <c r="A207" i="19"/>
  <c r="A206" i="19"/>
  <c r="A205" i="19"/>
  <c r="A204" i="19"/>
  <c r="A203" i="19"/>
  <c r="A202" i="19"/>
  <c r="A201" i="19"/>
  <c r="A200" i="19"/>
  <c r="A199" i="19"/>
  <c r="A198" i="19"/>
  <c r="A197" i="19"/>
  <c r="A196" i="19"/>
  <c r="A195" i="19"/>
  <c r="A194" i="19"/>
  <c r="A193" i="19"/>
  <c r="A192" i="19"/>
  <c r="A191" i="19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6" i="19"/>
  <c r="A175" i="19"/>
  <c r="A174" i="19"/>
  <c r="A173" i="19"/>
  <c r="A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436" i="16"/>
  <c r="A435" i="16"/>
  <c r="A434" i="16"/>
  <c r="A433" i="16"/>
  <c r="A432" i="16"/>
  <c r="A431" i="16"/>
  <c r="A430" i="16"/>
  <c r="A429" i="16"/>
  <c r="A428" i="16"/>
  <c r="A427" i="16"/>
  <c r="A426" i="16"/>
  <c r="A425" i="16"/>
  <c r="A424" i="16"/>
  <c r="A423" i="16"/>
  <c r="A422" i="16"/>
  <c r="A421" i="16"/>
  <c r="A420" i="16"/>
  <c r="A419" i="16"/>
  <c r="A418" i="16"/>
  <c r="A417" i="16"/>
  <c r="A416" i="16"/>
  <c r="A415" i="16"/>
  <c r="A414" i="16"/>
  <c r="A413" i="16"/>
  <c r="A412" i="16"/>
  <c r="A411" i="16"/>
  <c r="A410" i="16"/>
  <c r="A409" i="16"/>
  <c r="A408" i="16"/>
  <c r="A407" i="16"/>
  <c r="A406" i="16"/>
  <c r="A405" i="16"/>
  <c r="A404" i="16"/>
  <c r="A403" i="16"/>
  <c r="A402" i="16"/>
  <c r="A401" i="16"/>
  <c r="A400" i="16"/>
  <c r="A399" i="16"/>
  <c r="A398" i="16"/>
  <c r="A397" i="16"/>
  <c r="A396" i="16"/>
  <c r="A395" i="16"/>
  <c r="A394" i="16"/>
  <c r="A393" i="16"/>
  <c r="A392" i="16"/>
  <c r="A391" i="16"/>
  <c r="A390" i="16"/>
  <c r="A389" i="16"/>
  <c r="A388" i="16"/>
  <c r="A387" i="16"/>
  <c r="A386" i="16"/>
  <c r="A385" i="16"/>
  <c r="A384" i="16"/>
  <c r="A383" i="16"/>
  <c r="A382" i="16"/>
  <c r="A381" i="16"/>
  <c r="A380" i="16"/>
  <c r="A379" i="16"/>
  <c r="A378" i="16"/>
  <c r="A377" i="16"/>
  <c r="A376" i="16"/>
  <c r="A375" i="16"/>
  <c r="A374" i="16"/>
  <c r="A373" i="16"/>
  <c r="A372" i="16"/>
  <c r="A371" i="16"/>
  <c r="A370" i="16"/>
  <c r="A369" i="16"/>
  <c r="A368" i="16"/>
  <c r="A367" i="16"/>
  <c r="A366" i="16"/>
  <c r="A365" i="16"/>
  <c r="A364" i="16"/>
  <c r="A363" i="16"/>
  <c r="A362" i="16"/>
  <c r="A361" i="16"/>
  <c r="A360" i="16"/>
  <c r="A359" i="16"/>
  <c r="A358" i="16"/>
  <c r="A357" i="16"/>
  <c r="A356" i="16"/>
  <c r="A355" i="16"/>
  <c r="A354" i="16"/>
  <c r="A353" i="16"/>
  <c r="A352" i="16"/>
  <c r="A351" i="16"/>
  <c r="A350" i="16"/>
  <c r="A349" i="16"/>
  <c r="A348" i="16"/>
  <c r="A347" i="16"/>
  <c r="A346" i="16"/>
  <c r="A345" i="16"/>
  <c r="A344" i="16"/>
  <c r="A343" i="16"/>
  <c r="A342" i="16"/>
  <c r="A341" i="16"/>
  <c r="A340" i="16"/>
  <c r="A339" i="16"/>
  <c r="A338" i="16"/>
  <c r="A337" i="16"/>
  <c r="A336" i="16"/>
  <c r="A335" i="16"/>
  <c r="A334" i="16"/>
  <c r="A333" i="16"/>
  <c r="A332" i="16"/>
  <c r="A331" i="16"/>
  <c r="A330" i="16"/>
  <c r="A329" i="16"/>
  <c r="A328" i="16"/>
  <c r="A327" i="16"/>
  <c r="A326" i="16"/>
  <c r="A325" i="16"/>
  <c r="A324" i="16"/>
  <c r="A323" i="16"/>
  <c r="A322" i="16"/>
  <c r="A321" i="16"/>
  <c r="A320" i="16"/>
  <c r="A319" i="16"/>
  <c r="A318" i="16"/>
  <c r="A317" i="16"/>
  <c r="A316" i="16"/>
  <c r="A315" i="16"/>
  <c r="A314" i="16"/>
  <c r="A313" i="16"/>
  <c r="A312" i="16"/>
  <c r="A311" i="16"/>
  <c r="A310" i="16"/>
  <c r="A309" i="16"/>
  <c r="A308" i="16"/>
  <c r="A307" i="16"/>
  <c r="A306" i="16"/>
  <c r="A305" i="16"/>
  <c r="A304" i="16"/>
  <c r="A303" i="16"/>
  <c r="A302" i="16"/>
  <c r="A301" i="16"/>
  <c r="A300" i="16"/>
  <c r="A299" i="16"/>
  <c r="A298" i="16"/>
  <c r="A297" i="16"/>
  <c r="A296" i="16"/>
  <c r="A295" i="16"/>
  <c r="A294" i="16"/>
  <c r="A293" i="16"/>
  <c r="A292" i="16"/>
  <c r="A291" i="16"/>
  <c r="A290" i="16"/>
  <c r="A289" i="16"/>
  <c r="A288" i="16"/>
  <c r="A287" i="16"/>
  <c r="A286" i="16"/>
  <c r="A285" i="16"/>
  <c r="A284" i="16"/>
  <c r="A283" i="16"/>
  <c r="A282" i="16"/>
  <c r="A281" i="16"/>
  <c r="A280" i="16"/>
  <c r="A279" i="16"/>
  <c r="A278" i="16"/>
  <c r="A277" i="16"/>
  <c r="A276" i="16"/>
  <c r="A275" i="16"/>
  <c r="A274" i="16"/>
  <c r="A273" i="16"/>
  <c r="A272" i="16"/>
  <c r="A271" i="16"/>
  <c r="A270" i="16"/>
  <c r="A269" i="16"/>
  <c r="A268" i="16"/>
  <c r="A267" i="16"/>
  <c r="A266" i="16"/>
  <c r="A265" i="16"/>
  <c r="A264" i="16"/>
  <c r="A263" i="16"/>
  <c r="A262" i="16"/>
  <c r="A261" i="16"/>
  <c r="A260" i="16"/>
  <c r="A259" i="16"/>
  <c r="A258" i="16"/>
  <c r="A257" i="16"/>
  <c r="A256" i="16"/>
  <c r="A255" i="16"/>
  <c r="A254" i="16"/>
  <c r="A253" i="16"/>
  <c r="A252" i="16"/>
  <c r="A251" i="16"/>
  <c r="A250" i="16"/>
  <c r="A249" i="16"/>
  <c r="A248" i="16"/>
  <c r="A247" i="16"/>
  <c r="A246" i="16"/>
  <c r="A245" i="16"/>
  <c r="A244" i="16"/>
  <c r="A243" i="16"/>
  <c r="A242" i="16"/>
  <c r="A241" i="16"/>
  <c r="A240" i="16"/>
  <c r="A239" i="16"/>
  <c r="A238" i="16"/>
  <c r="A237" i="16"/>
  <c r="A236" i="16"/>
  <c r="A235" i="16"/>
  <c r="A234" i="16"/>
  <c r="A233" i="16"/>
  <c r="A232" i="16"/>
  <c r="A231" i="16"/>
  <c r="A230" i="16"/>
  <c r="A229" i="16"/>
  <c r="A228" i="16"/>
  <c r="A227" i="16"/>
  <c r="A226" i="16"/>
  <c r="A225" i="16"/>
  <c r="A224" i="16"/>
  <c r="A223" i="16"/>
  <c r="A222" i="16"/>
  <c r="A221" i="16"/>
  <c r="A220" i="16"/>
  <c r="A219" i="16"/>
  <c r="A218" i="16"/>
  <c r="A217" i="16"/>
  <c r="A216" i="16"/>
  <c r="A215" i="16"/>
  <c r="A214" i="16"/>
  <c r="A213" i="16"/>
  <c r="A212" i="16"/>
  <c r="A211" i="16"/>
  <c r="A210" i="16"/>
  <c r="A209" i="16"/>
  <c r="A208" i="16"/>
  <c r="A207" i="16"/>
  <c r="A206" i="16"/>
  <c r="A205" i="16"/>
  <c r="A204" i="16"/>
  <c r="A203" i="16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138" i="16"/>
  <c r="A137" i="16"/>
  <c r="A136" i="16"/>
  <c r="A135" i="16"/>
  <c r="A134" i="16"/>
  <c r="A133" i="16"/>
  <c r="A132" i="16"/>
  <c r="A131" i="16"/>
  <c r="A130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436" i="15"/>
  <c r="A435" i="15"/>
  <c r="A434" i="15"/>
  <c r="A433" i="15"/>
  <c r="A432" i="15"/>
  <c r="A431" i="15"/>
  <c r="A430" i="15"/>
  <c r="A429" i="15"/>
  <c r="A428" i="15"/>
  <c r="A427" i="15"/>
  <c r="A426" i="15"/>
  <c r="A425" i="15"/>
  <c r="A424" i="15"/>
  <c r="A423" i="15"/>
  <c r="A422" i="15"/>
  <c r="A421" i="15"/>
  <c r="A420" i="15"/>
  <c r="A419" i="15"/>
  <c r="A418" i="15"/>
  <c r="A417" i="15"/>
  <c r="A416" i="15"/>
  <c r="A415" i="15"/>
  <c r="A414" i="15"/>
  <c r="A413" i="15"/>
  <c r="A412" i="15"/>
  <c r="A411" i="15"/>
  <c r="A410" i="15"/>
  <c r="A409" i="15"/>
  <c r="A408" i="15"/>
  <c r="A407" i="15"/>
  <c r="A406" i="15"/>
  <c r="A405" i="15"/>
  <c r="A404" i="15"/>
  <c r="A403" i="15"/>
  <c r="A402" i="15"/>
  <c r="A401" i="15"/>
  <c r="A400" i="15"/>
  <c r="A399" i="15"/>
  <c r="A398" i="15"/>
  <c r="A397" i="15"/>
  <c r="A396" i="15"/>
  <c r="A395" i="15"/>
  <c r="A394" i="15"/>
  <c r="A393" i="15"/>
  <c r="A392" i="15"/>
  <c r="A391" i="15"/>
  <c r="A390" i="15"/>
  <c r="A389" i="15"/>
  <c r="A388" i="15"/>
  <c r="A387" i="15"/>
  <c r="A386" i="15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436" i="13"/>
  <c r="A435" i="13"/>
  <c r="A434" i="13"/>
  <c r="A433" i="13"/>
  <c r="A432" i="13"/>
  <c r="A431" i="13"/>
  <c r="A430" i="13"/>
  <c r="A429" i="13"/>
  <c r="A428" i="13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<sst xmlns="http://schemas.openxmlformats.org/spreadsheetml/2006/main" count="296" uniqueCount="8">
  <si>
    <t>ID</t>
  </si>
  <si>
    <t>SF AP@1</t>
  </si>
  <si>
    <t>NEW AP@1</t>
  </si>
  <si>
    <t>SF AP@3</t>
  </si>
  <si>
    <t>NEW AP@3</t>
  </si>
  <si>
    <t>SF AP@5</t>
  </si>
  <si>
    <t>NEW AP@5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</si>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</sst>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2" fillId="2" borderId="0" xfId="1" applyAlignment="1"/>
    <xf numFmtId="176" fontId="0" fillId="0" borderId="0" xfId="0" applyNumberFormat="1" applyAlignment="1">
      <alignment horizontal="center" vertical="center"/>
    </xf>
    <xf numFmtId="176" fontId="2" fillId="2" borderId="0" xfId="1" applyNumberForma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</cellXfs>
  <cellStyles count="2">
    <cellStyle name="常规" xfId="0" builtinId="0"/>
    <cellStyle name="好" xfId="1" builtinId="26"/>
  </cellStyles>
  <dxfs count="8">
    <dxf>
      <font>
        <strike val="0"/>
        <color theme="0"/>
      </font>
      <fill>
        <patternFill>
          <bgColor theme="9" tint="-0.24994659260841701"/>
        </patternFill>
      </fill>
    </dxf>
    <dxf>
      <font>
        <strike val="0"/>
        <color theme="0"/>
      </font>
      <fill>
        <patternFill>
          <bgColor theme="6" tint="-0.499984740745262"/>
        </patternFill>
      </fill>
    </dxf>
    <dxf>
      <font>
        <color rgb="FFC0000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C0000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C0000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HYPERLINK("./new_k5/query_cmdrels_weight_analyze/1_1_1/au_102733.xlsx","au_102733")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HYPERLINK("./new_k5/query_cmdrels_weight_analyze/1_1_1/au_1029436.xlsx","au_1029436")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HYPERLINK("./new_k5/query_cmdrels_weight_analyze/1_1_1/au_1029502.xlsx","au_1029502")</f>
        <v>au_1029502</v>
      </c>
      <c r="B5">
        <v>0.25</v>
      </c>
      <c r="C5">
        <v>0.25</v>
      </c>
      <c r="D5">
        <v>0.25</v>
      </c>
      <c r="E5">
        <v>0.25</v>
      </c>
      <c r="F5">
        <v>0.375</v>
      </c>
      <c r="G5">
        <v>0.25</v>
      </c>
    </row>
    <row r="6" spans="1:7" x14ac:dyDescent="0.15">
      <c r="A6" t="str">
        <f>HYPERLINK("./new_k5/query_cmdrels_weight_analyze/1_1_1/au_1029531.xlsx","au_1029531")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HYPERLINK("./new_k5/query_cmdrels_weight_analyze/1_1_1/au_104542.xlsx","au_104542")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HYPERLINK("./new_k5/query_cmdrels_weight_analyze/1_1_1/au_109070.xlsx","au_109070")</f>
        <v>au_109070</v>
      </c>
      <c r="B8">
        <v>0</v>
      </c>
      <c r="C8">
        <v>0</v>
      </c>
      <c r="D8">
        <v>0.23333333333333331</v>
      </c>
      <c r="E8">
        <v>6.6666666666666666E-2</v>
      </c>
      <c r="F8">
        <v>0.3833333333333333</v>
      </c>
      <c r="G8">
        <v>6.6666666666666666E-2</v>
      </c>
    </row>
    <row r="9" spans="1:7" x14ac:dyDescent="0.15">
      <c r="A9" t="str">
        <f>HYPERLINK("./new_k5/query_cmdrels_weight_analyze/1_1_1/au_109381.xlsx","au_109381")</f>
        <v>au_109381</v>
      </c>
      <c r="B9">
        <v>0</v>
      </c>
      <c r="C9">
        <v>0</v>
      </c>
      <c r="D9">
        <v>0.25</v>
      </c>
      <c r="E9">
        <v>0.25</v>
      </c>
      <c r="F9">
        <v>0.25</v>
      </c>
      <c r="G9">
        <v>0.25</v>
      </c>
    </row>
    <row r="10" spans="1:7" x14ac:dyDescent="0.15">
      <c r="A10" t="str">
        <f>HYPERLINK("./new_k5/query_cmdrels_weight_analyze/1_1_1/au_110477.xlsx","au_110477")</f>
        <v>au_110477</v>
      </c>
      <c r="B10">
        <v>0.25</v>
      </c>
      <c r="C10">
        <v>0.25</v>
      </c>
      <c r="D10">
        <v>0.5</v>
      </c>
      <c r="E10">
        <v>0.75</v>
      </c>
      <c r="F10">
        <v>0.5</v>
      </c>
      <c r="G10">
        <v>0.75</v>
      </c>
    </row>
    <row r="11" spans="1:7" x14ac:dyDescent="0.15">
      <c r="A11" t="str">
        <f>HYPERLINK("./new_k5/query_cmdrels_weight_analyze/1_1_1/au_111678.xlsx","au_111678")</f>
        <v>au_111678</v>
      </c>
      <c r="B11">
        <v>0</v>
      </c>
      <c r="C11">
        <v>0.33333333333333331</v>
      </c>
      <c r="D11">
        <v>0.1111111111111111</v>
      </c>
      <c r="E11">
        <v>0.33333333333333331</v>
      </c>
      <c r="F11">
        <v>0.1111111111111111</v>
      </c>
      <c r="G11">
        <v>0.33333333333333331</v>
      </c>
    </row>
    <row r="12" spans="1:7" x14ac:dyDescent="0.15">
      <c r="A12" t="str">
        <f>HYPERLINK("./new_k5/query_cmdrels_weight_analyze/1_1_1/au_112512.xlsx","au_112512")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HYPERLINK("./new_k5/query_cmdrels_weight_analyze/1_1_1/au_115369.xlsx","au_115369")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HYPERLINK("./new_k5/query_cmdrels_weight_analyze/1_1_1/au_11789.xlsx","au_11789")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HYPERLINK("./new_k5/query_cmdrels_weight_analyze/1_1_1/au_117950.xlsx","au_117950")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0.125</v>
      </c>
    </row>
    <row r="16" spans="1:7" x14ac:dyDescent="0.15">
      <c r="A16" t="str">
        <f>HYPERLINK("./new_k5/query_cmdrels_weight_analyze/1_1_1/au_122113.xlsx","au_122113")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HYPERLINK("./new_k5/query_cmdrels_weight_analyze/1_1_1/au_123798.xlsx","au_123798")</f>
        <v>au_123798</v>
      </c>
      <c r="B17">
        <v>0</v>
      </c>
      <c r="C17">
        <v>0</v>
      </c>
      <c r="D17">
        <v>5.5555555555555552E-2</v>
      </c>
      <c r="E17">
        <v>5.5555555555555552E-2</v>
      </c>
      <c r="F17">
        <v>0.23888888888888879</v>
      </c>
      <c r="G17">
        <v>0.23888888888888879</v>
      </c>
    </row>
    <row r="18" spans="1:7" x14ac:dyDescent="0.15">
      <c r="A18" t="str">
        <f>HYPERLINK("./new_k5/query_cmdrels_weight_analyze/1_1_1/au_125257.xlsx","au_125257")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HYPERLINK("./new_k5/query_cmdrels_weight_analyze/1_1_1/au_126153.xlsx","au_126153")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0.16666666666666671</v>
      </c>
      <c r="F19">
        <v>0.45833333333333331</v>
      </c>
      <c r="G19">
        <v>0.35</v>
      </c>
    </row>
    <row r="20" spans="1:7" x14ac:dyDescent="0.15">
      <c r="A20" t="str">
        <f>HYPERLINK("./new_k5/query_cmdrels_weight_analyze/1_1_1/au_127326.xlsx","au_127326")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HYPERLINK("./new_k5/query_cmdrels_weight_analyze/1_1_1/au_128463.xlsx","au_128463")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HYPERLINK("./new_k5/query_cmdrels_weight_analyze/1_1_1/au_130393.xlsx","au_130393")</f>
        <v>au_130393</v>
      </c>
      <c r="B22">
        <v>0</v>
      </c>
      <c r="C22">
        <v>0.25</v>
      </c>
      <c r="D22">
        <v>0.125</v>
      </c>
      <c r="E22">
        <v>0.25</v>
      </c>
      <c r="F22">
        <v>0.125</v>
      </c>
      <c r="G22">
        <v>0.375</v>
      </c>
    </row>
    <row r="23" spans="1:7" x14ac:dyDescent="0.15">
      <c r="A23" t="str">
        <f>HYPERLINK("./new_k5/query_cmdrels_weight_analyze/1_1_1/au_131570.xlsx","au_131570")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HYPERLINK("./new_k5/query_cmdrels_weight_analyze/1_1_1/au_133318.xlsx","au_133318")</f>
        <v>au_133318</v>
      </c>
      <c r="B24">
        <v>0</v>
      </c>
      <c r="C24">
        <v>0.25</v>
      </c>
      <c r="D24">
        <v>0</v>
      </c>
      <c r="E24">
        <v>0.41666666666666657</v>
      </c>
      <c r="F24">
        <v>0</v>
      </c>
      <c r="G24">
        <v>0.41666666666666657</v>
      </c>
    </row>
    <row r="25" spans="1:7" x14ac:dyDescent="0.15">
      <c r="A25" t="str">
        <f>HYPERLINK("./new_k5/query_cmdrels_weight_analyze/1_1_1/au_133343.xlsx","au_133343")</f>
        <v>au_133343</v>
      </c>
      <c r="B25">
        <v>0</v>
      </c>
      <c r="C25">
        <v>0</v>
      </c>
      <c r="D25">
        <v>0</v>
      </c>
      <c r="E25">
        <v>0.1111111111111111</v>
      </c>
      <c r="F25">
        <v>0</v>
      </c>
      <c r="G25">
        <v>0.27777777777777768</v>
      </c>
    </row>
    <row r="26" spans="1:7" x14ac:dyDescent="0.15">
      <c r="A26" t="str">
        <f>HYPERLINK("./new_k5/query_cmdrels_weight_analyze/1_1_1/au_133389.xlsx","au_133389")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HYPERLINK("./new_k5/query_cmdrels_weight_analyze/1_1_1/au_141277.xlsx","au_141277")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HYPERLINK("./new_k5/query_cmdrels_weight_analyze/1_1_1/au_143819.xlsx","au_143819")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HYPERLINK("./new_k5/query_cmdrels_weight_analyze/1_1_1/au_145935.xlsx","au_145935")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HYPERLINK("./new_k5/query_cmdrels_weight_analyze/1_1_1/au_147241.xlsx","au_147241")</f>
        <v>au_147241</v>
      </c>
      <c r="B30">
        <v>0</v>
      </c>
      <c r="C30">
        <v>0</v>
      </c>
      <c r="D30">
        <v>0.29166666666666657</v>
      </c>
      <c r="E30">
        <v>0.29166666666666657</v>
      </c>
      <c r="F30">
        <v>0.29166666666666657</v>
      </c>
      <c r="G30">
        <v>0.47916666666666657</v>
      </c>
    </row>
    <row r="31" spans="1:7" x14ac:dyDescent="0.15">
      <c r="A31" t="str">
        <f>HYPERLINK("./new_k5/query_cmdrels_weight_analyze/1_1_1/au_147800.xlsx","au_147800")</f>
        <v>au_147800</v>
      </c>
      <c r="B31">
        <v>0</v>
      </c>
      <c r="C31">
        <v>0</v>
      </c>
      <c r="D31">
        <v>0.1111111111111111</v>
      </c>
      <c r="E31">
        <v>0.1111111111111111</v>
      </c>
      <c r="F31">
        <v>0.1111111111111111</v>
      </c>
      <c r="G31">
        <v>0.1111111111111111</v>
      </c>
    </row>
    <row r="32" spans="1:7" x14ac:dyDescent="0.15">
      <c r="A32" t="str">
        <f>HYPERLINK("./new_k5/query_cmdrels_weight_analyze/1_1_1/au_148321.xlsx","au_148321")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0.40277777777777768</v>
      </c>
    </row>
    <row r="33" spans="1:7" x14ac:dyDescent="0.15">
      <c r="A33" t="str">
        <f>HYPERLINK("./new_k5/query_cmdrels_weight_analyze/1_1_1/au_148638.xlsx","au_148638")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HYPERLINK("./new_k5/query_cmdrels_weight_analyze/1_1_1/au_151049.xlsx","au_151049")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HYPERLINK("./new_k5/query_cmdrels_weight_analyze/1_1_1/au_151941.xlsx","au_151941")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HYPERLINK("./new_k5/query_cmdrels_weight_analyze/1_1_1/au_152297.xlsx","au_152297")</f>
        <v>au_152297</v>
      </c>
      <c r="B36">
        <v>0</v>
      </c>
      <c r="C36">
        <v>0</v>
      </c>
      <c r="D36">
        <v>7.1428571428571425E-2</v>
      </c>
      <c r="E36">
        <v>0.16666666666666671</v>
      </c>
      <c r="F36">
        <v>7.1428571428571425E-2</v>
      </c>
      <c r="G36">
        <v>0.25238095238095237</v>
      </c>
    </row>
    <row r="37" spans="1:7" x14ac:dyDescent="0.15">
      <c r="A37" t="str">
        <f>HYPERLINK("./new_k5/query_cmdrels_weight_analyze/1_1_1/au_153976.xlsx","au_153976")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0.27777777777777768</v>
      </c>
      <c r="F37">
        <v>0.33333333333333331</v>
      </c>
      <c r="G37">
        <v>0.37777777777777782</v>
      </c>
    </row>
    <row r="38" spans="1:7" x14ac:dyDescent="0.15">
      <c r="A38" t="str">
        <f>HYPERLINK("./new_k5/query_cmdrels_weight_analyze/1_1_1/au_154431.xlsx","au_154431")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HYPERLINK("./new_k5/query_cmdrels_weight_analyze/1_1_1/au_159708.xlsx","au_159708")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0.33333333333333331</v>
      </c>
      <c r="F39">
        <v>0.33333333333333331</v>
      </c>
      <c r="G39">
        <v>0.33333333333333331</v>
      </c>
    </row>
    <row r="40" spans="1:7" x14ac:dyDescent="0.15">
      <c r="A40" t="str">
        <f>HYPERLINK("./new_k5/query_cmdrels_weight_analyze/1_1_1/au_160869.xlsx","au_160869")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HYPERLINK("./new_k5/query_cmdrels_weight_analyze/1_1_1/au_161313.xlsx","au_161313")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0.125</v>
      </c>
    </row>
    <row r="42" spans="1:7" x14ac:dyDescent="0.15">
      <c r="A42" t="str">
        <f>HYPERLINK("./new_k5/query_cmdrels_weight_analyze/1_1_1/au_162075.xlsx","au_162075")</f>
        <v>au_162075</v>
      </c>
      <c r="B42">
        <v>0.25</v>
      </c>
      <c r="C42">
        <v>0.25</v>
      </c>
      <c r="D42">
        <v>0.5</v>
      </c>
      <c r="E42">
        <v>0.5</v>
      </c>
      <c r="F42">
        <v>0.5</v>
      </c>
      <c r="G42">
        <v>0.5</v>
      </c>
    </row>
    <row r="43" spans="1:7" x14ac:dyDescent="0.15">
      <c r="A43" t="str">
        <f>HYPERLINK("./new_k5/query_cmdrels_weight_analyze/1_1_1/au_16277.xlsx","au_16277")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0.83333333333333337</v>
      </c>
    </row>
    <row r="44" spans="1:7" x14ac:dyDescent="0.15">
      <c r="A44" t="str">
        <f>HYPERLINK("./new_k5/query_cmdrels_weight_analyze/1_1_1/au_163155.xlsx","au_163155")</f>
        <v>au_163155</v>
      </c>
      <c r="B44">
        <v>0.125</v>
      </c>
      <c r="C44">
        <v>0.125</v>
      </c>
      <c r="D44">
        <v>0.375</v>
      </c>
      <c r="E44">
        <v>0.375</v>
      </c>
      <c r="F44">
        <v>0.5</v>
      </c>
      <c r="G44">
        <v>0.5</v>
      </c>
    </row>
    <row r="45" spans="1:7" x14ac:dyDescent="0.15">
      <c r="A45" t="str">
        <f>HYPERLINK("./new_k5/query_cmdrels_weight_analyze/1_1_1/au_164473.xlsx","au_164473")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HYPERLINK("./new_k5/query_cmdrels_weight_analyze/1_1_1/au_16584.xlsx","au_16584")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0.15151515151515149</v>
      </c>
      <c r="F46">
        <v>0.13636363636363641</v>
      </c>
      <c r="G46">
        <v>0.2196969696969697</v>
      </c>
    </row>
    <row r="47" spans="1:7" x14ac:dyDescent="0.15">
      <c r="A47" t="str">
        <f>HYPERLINK("./new_k5/query_cmdrels_weight_analyze/1_1_1/au_166420.xlsx","au_166420")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HYPERLINK("./new_k5/query_cmdrels_weight_analyze/1_1_1/au_169473.xlsx","au_169473")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0.16666666666666671</v>
      </c>
      <c r="F48">
        <v>0.43333333333333329</v>
      </c>
      <c r="G48">
        <v>0.35</v>
      </c>
    </row>
    <row r="49" spans="1:7" x14ac:dyDescent="0.15">
      <c r="A49" t="str">
        <f>HYPERLINK("./new_k5/query_cmdrels_weight_analyze/1_1_1/au_169516.xlsx","au_169516")</f>
        <v>au_169516</v>
      </c>
      <c r="B49">
        <v>0.25</v>
      </c>
      <c r="C49">
        <v>0.25</v>
      </c>
      <c r="D49">
        <v>0.25</v>
      </c>
      <c r="E49">
        <v>0.5</v>
      </c>
      <c r="F49">
        <v>0.25</v>
      </c>
      <c r="G49">
        <v>0.5</v>
      </c>
    </row>
    <row r="50" spans="1:7" x14ac:dyDescent="0.15">
      <c r="A50" t="str">
        <f>HYPERLINK("./new_k5/query_cmdrels_weight_analyze/1_1_1/au_174292.xlsx","au_174292")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HYPERLINK("./new_k5/query_cmdrels_weight_analyze/1_1_1/au_178481.xlsx","au_178481")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HYPERLINK("./new_k5/query_cmdrels_weight_analyze/1_1_1/au_180925.xlsx","au_180925")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HYPERLINK("./new_k5/query_cmdrels_weight_analyze/1_1_1/au_187888.xlsx","au_187888")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HYPERLINK("./new_k5/query_cmdrels_weight_analyze/1_1_1/au_191390.xlsx","au_191390")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HYPERLINK("./new_k5/query_cmdrels_weight_analyze/1_1_1/au_192798.xlsx","au_192798")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HYPERLINK("./new_k5/query_cmdrels_weight_analyze/1_1_1/au_201775.xlsx","au_201775")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0.55555555555555547</v>
      </c>
      <c r="F56">
        <v>0.66666666666666663</v>
      </c>
      <c r="G56">
        <v>0.75555555555555554</v>
      </c>
    </row>
    <row r="57" spans="1:7" x14ac:dyDescent="0.15">
      <c r="A57" t="str">
        <f>HYPERLINK("./new_k5/query_cmdrels_weight_analyze/1_1_1/au_204166.xlsx","au_204166")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HYPERLINK("./new_k5/query_cmdrels_weight_analyze/1_1_1/au_207447.xlsx","au_207447")</f>
        <v>au_207447</v>
      </c>
      <c r="B58">
        <v>0.33333333333333331</v>
      </c>
      <c r="C58">
        <v>0</v>
      </c>
      <c r="D58">
        <v>0.33333333333333331</v>
      </c>
      <c r="E58">
        <v>0.16666666666666671</v>
      </c>
      <c r="F58">
        <v>0.33333333333333331</v>
      </c>
      <c r="G58">
        <v>0.3</v>
      </c>
    </row>
    <row r="59" spans="1:7" x14ac:dyDescent="0.15">
      <c r="A59" t="str">
        <f>HYPERLINK("./new_k5/query_cmdrels_weight_analyze/1_1_1/au_210680.xlsx","au_210680")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HYPERLINK("./new_k5/query_cmdrels_weight_analyze/1_1_1/au_214246.xlsx","au_214246")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HYPERLINK("./new_k5/query_cmdrels_weight_analyze/1_1_1/au_214643.xlsx","au_214643")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HYPERLINK("./new_k5/query_cmdrels_weight_analyze/1_1_1/au_2194.xlsx","au_2194")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HYPERLINK("./new_k5/query_cmdrels_weight_analyze/1_1_1/au_221962.xlsx","au_221962")</f>
        <v>au_221962</v>
      </c>
      <c r="B63">
        <v>0</v>
      </c>
      <c r="C63">
        <v>0</v>
      </c>
      <c r="D63">
        <v>5.5555555555555552E-2</v>
      </c>
      <c r="E63">
        <v>8.3333333333333329E-2</v>
      </c>
      <c r="F63">
        <v>0.1388888888888889</v>
      </c>
      <c r="G63">
        <v>0.26666666666666672</v>
      </c>
    </row>
    <row r="64" spans="1:7" x14ac:dyDescent="0.15">
      <c r="A64" t="str">
        <f>HYPERLINK("./new_k5/query_cmdrels_weight_analyze/1_1_1/au_22608.xlsx","au_22608")</f>
        <v>au_22608</v>
      </c>
      <c r="B64">
        <v>0.33333333333333331</v>
      </c>
      <c r="C64">
        <v>0.33333333333333331</v>
      </c>
      <c r="D64">
        <v>0.33333333333333331</v>
      </c>
      <c r="E64">
        <v>0.33333333333333331</v>
      </c>
      <c r="F64">
        <v>0.33333333333333331</v>
      </c>
      <c r="G64">
        <v>0.5</v>
      </c>
    </row>
    <row r="65" spans="1:7" x14ac:dyDescent="0.15">
      <c r="A65" t="str">
        <f>HYPERLINK("./new_k5/query_cmdrels_weight_analyze/1_1_1/au_230698.xlsx","au_230698")</f>
        <v>au_230698</v>
      </c>
      <c r="B65">
        <v>0.125</v>
      </c>
      <c r="C65">
        <v>0.125</v>
      </c>
      <c r="D65">
        <v>0.25</v>
      </c>
      <c r="E65">
        <v>0.25</v>
      </c>
      <c r="F65">
        <v>0.32500000000000001</v>
      </c>
      <c r="G65">
        <v>0.34375</v>
      </c>
    </row>
    <row r="66" spans="1:7" x14ac:dyDescent="0.15">
      <c r="A66" t="str">
        <f>HYPERLINK("./new_k5/query_cmdrels_weight_analyze/1_1_1/au_232442.xlsx","au_232442")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HYPERLINK("./new_k5/query_cmdrels_weight_analyze/1_1_1/au_233378.xlsx","au_233378")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HYPERLINK("./new_k5/query_cmdrels_weight_analyze/1_1_1/au_24027.xlsx","au_24027")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HYPERLINK("./new_k5/query_cmdrels_weight_analyze/1_1_1/au_246647.xlsx","au_246647")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HYPERLINK("./new_k5/query_cmdrels_weight_analyze/1_1_1/au_254424.xlsx","au_254424")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0</v>
      </c>
    </row>
    <row r="71" spans="1:7" x14ac:dyDescent="0.15">
      <c r="A71" t="str">
        <f>HYPERLINK("./new_k5/query_cmdrels_weight_analyze/1_1_1/au_255890.xlsx","au_255890")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HYPERLINK("./new_k5/query_cmdrels_weight_analyze/1_1_1/au_257248.xlsx","au_257248")</f>
        <v>au_257248</v>
      </c>
      <c r="B72">
        <v>0</v>
      </c>
      <c r="C72">
        <v>0.14285714285714279</v>
      </c>
      <c r="D72">
        <v>0.16666666666666671</v>
      </c>
      <c r="E72">
        <v>0.23809523809523811</v>
      </c>
      <c r="F72">
        <v>0.25238095238095237</v>
      </c>
      <c r="G72">
        <v>0.34523809523809518</v>
      </c>
    </row>
    <row r="73" spans="1:7" x14ac:dyDescent="0.15">
      <c r="A73" t="str">
        <f>HYPERLINK("./new_k5/query_cmdrels_weight_analyze/1_1_1/au_259354.xlsx","au_259354")</f>
        <v>au_259354</v>
      </c>
      <c r="B73">
        <v>0</v>
      </c>
      <c r="C73">
        <v>0.14285714285714279</v>
      </c>
      <c r="D73">
        <v>0.16666666666666671</v>
      </c>
      <c r="E73">
        <v>0.2857142857142857</v>
      </c>
      <c r="F73">
        <v>0.27380952380952378</v>
      </c>
      <c r="G73">
        <v>0.39285714285714279</v>
      </c>
    </row>
    <row r="74" spans="1:7" x14ac:dyDescent="0.15">
      <c r="A74" t="str">
        <f>HYPERLINK("./new_k5/query_cmdrels_weight_analyze/1_1_1/au_263378.xlsx","au_263378")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0.5</v>
      </c>
    </row>
    <row r="75" spans="1:7" x14ac:dyDescent="0.15">
      <c r="A75" t="str">
        <f>HYPERLINK("./new_k5/query_cmdrels_weight_analyze/1_1_1/au_264215.xlsx","au_264215")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HYPERLINK("./new_k5/query_cmdrels_weight_analyze/1_1_1/au_265176.xlsx","au_265176")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HYPERLINK("./new_k5/query_cmdrels_weight_analyze/1_1_1/au_275704.xlsx","au_275704")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HYPERLINK("./new_k5/query_cmdrels_weight_analyze/1_1_1/au_276669.xlsx","au_276669")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HYPERLINK("./new_k5/query_cmdrels_weight_analyze/1_1_1/au_277565.xlsx","au_277565")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HYPERLINK("./new_k5/query_cmdrels_weight_analyze/1_1_1/au_278403.xlsx","au_278403")</f>
        <v>au_278403</v>
      </c>
      <c r="B80">
        <v>0</v>
      </c>
      <c r="C80">
        <v>0</v>
      </c>
      <c r="D80">
        <v>8.3333333333333329E-2</v>
      </c>
      <c r="E80">
        <v>8.3333333333333329E-2</v>
      </c>
      <c r="F80">
        <v>0.20833333333333329</v>
      </c>
      <c r="G80">
        <v>0.20833333333333329</v>
      </c>
    </row>
    <row r="81" spans="1:7" x14ac:dyDescent="0.15">
      <c r="A81" t="str">
        <f>HYPERLINK("./new_k5/query_cmdrels_weight_analyze/1_1_1/au_28039.xlsx","au_28039")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HYPERLINK("./new_k5/query_cmdrels_weight_analyze/1_1_1/au_281509.xlsx","au_281509")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HYPERLINK("./new_k5/query_cmdrels_weight_analyze/1_1_1/au_282806.xlsx","au_282806")</f>
        <v>au_282806</v>
      </c>
      <c r="B83">
        <v>0</v>
      </c>
      <c r="C83">
        <v>0</v>
      </c>
      <c r="D83">
        <v>0.38888888888888878</v>
      </c>
      <c r="E83">
        <v>0.38888888888888878</v>
      </c>
      <c r="F83">
        <v>0.38888888888888878</v>
      </c>
      <c r="G83">
        <v>0.38888888888888878</v>
      </c>
    </row>
    <row r="84" spans="1:7" x14ac:dyDescent="0.15">
      <c r="A84" t="str">
        <f>HYPERLINK("./new_k5/query_cmdrels_weight_analyze/1_1_1/au_283559.xlsx","au_283559")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HYPERLINK("./new_k5/query_cmdrels_weight_analyze/1_1_1/au_285539.xlsx","au_285539")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HYPERLINK("./new_k5/query_cmdrels_weight_analyze/1_1_1/au_287532.xlsx","au_287532")</f>
        <v>au_287532</v>
      </c>
      <c r="B86">
        <v>0</v>
      </c>
      <c r="C86">
        <v>0</v>
      </c>
      <c r="D86">
        <v>0</v>
      </c>
      <c r="E86">
        <v>8.3333333333333329E-2</v>
      </c>
      <c r="F86">
        <v>0</v>
      </c>
      <c r="G86">
        <v>8.3333333333333329E-2</v>
      </c>
    </row>
    <row r="87" spans="1:7" x14ac:dyDescent="0.15">
      <c r="A87" t="str">
        <f>HYPERLINK("./new_k5/query_cmdrels_weight_analyze/1_1_1/au_294257.xlsx","au_294257")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HYPERLINK("./new_k5/query_cmdrels_weight_analyze/1_1_1/au_296155.xlsx","au_296155")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HYPERLINK("./new_k5/query_cmdrels_weight_analyze/1_1_1/au_299975.xlsx","au_299975")</f>
        <v>au_299975</v>
      </c>
      <c r="B89">
        <v>0.25</v>
      </c>
      <c r="C89">
        <v>0</v>
      </c>
      <c r="D89">
        <v>0.5</v>
      </c>
      <c r="E89">
        <v>8.3333333333333329E-2</v>
      </c>
      <c r="F89">
        <v>0.6875</v>
      </c>
      <c r="G89">
        <v>8.3333333333333329E-2</v>
      </c>
    </row>
    <row r="90" spans="1:7" x14ac:dyDescent="0.15">
      <c r="A90" t="str">
        <f>HYPERLINK("./new_k5/query_cmdrels_weight_analyze/1_1_1/au_301096.xlsx","au_301096")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HYPERLINK("./new_k5/query_cmdrels_weight_analyze/1_1_1/au_303593.xlsx","au_303593")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HYPERLINK("./new_k5/query_cmdrels_weight_analyze/1_1_1/au_303849.xlsx","au_303849")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HYPERLINK("./new_k5/query_cmdrels_weight_analyze/1_1_1/au_307541.xlsx","au_307541")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HYPERLINK("./new_k5/query_cmdrels_weight_analyze/1_1_1/au_307688.xlsx","au_307688")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HYPERLINK("./new_k5/query_cmdrels_weight_analyze/1_1_1/au_309047.xlsx","au_309047")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HYPERLINK("./new_k5/query_cmdrels_weight_analyze/1_1_1/au_311558.xlsx","au_311558")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0.41666666666666657</v>
      </c>
    </row>
    <row r="97" spans="1:7" x14ac:dyDescent="0.15">
      <c r="A97" t="str">
        <f>HYPERLINK("./new_k5/query_cmdrels_weight_analyze/1_1_1/au_318973.xlsx","au_318973")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HYPERLINK("./new_k5/query_cmdrels_weight_analyze/1_1_1/au_3205.xlsx","au_3205")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HYPERLINK("./new_k5/query_cmdrels_weight_analyze/1_1_1/au_323131.xlsx","au_323131")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HYPERLINK("./new_k5/query_cmdrels_weight_analyze/1_1_1/au_323392.xlsx","au_323392")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HYPERLINK("./new_k5/query_cmdrels_weight_analyze/1_1_1/au_325368.xlsx","au_325368")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HYPERLINK("./new_k5/query_cmdrels_weight_analyze/1_1_1/au_328162.xlsx","au_328162")</f>
        <v>au_328162</v>
      </c>
      <c r="B102">
        <v>0.33333333333333331</v>
      </c>
      <c r="C102">
        <v>0.33333333333333331</v>
      </c>
      <c r="D102">
        <v>1</v>
      </c>
      <c r="E102">
        <v>0.55555555555555547</v>
      </c>
      <c r="F102">
        <v>1</v>
      </c>
      <c r="G102">
        <v>0.55555555555555547</v>
      </c>
    </row>
    <row r="103" spans="1:7" x14ac:dyDescent="0.15">
      <c r="A103" t="str">
        <f>HYPERLINK("./new_k5/query_cmdrels_weight_analyze/1_1_1/au_330148.xlsx","au_330148")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HYPERLINK("./new_k5/query_cmdrels_weight_analyze/1_1_1/au_332315.xlsx","au_332315")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HYPERLINK("./new_k5/query_cmdrels_weight_analyze/1_1_1/au_334081.xlsx","au_334081")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HYPERLINK("./new_k5/query_cmdrels_weight_analyze/1_1_1/au_34077.xlsx","au_34077")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0.5</v>
      </c>
      <c r="F106">
        <v>0.33333333333333331</v>
      </c>
      <c r="G106">
        <v>0.6333333333333333</v>
      </c>
    </row>
    <row r="107" spans="1:7" x14ac:dyDescent="0.15">
      <c r="A107" t="str">
        <f>HYPERLINK("./new_k5/query_cmdrels_weight_analyze/1_1_1/au_341428.xlsx","au_341428")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HYPERLINK("./new_k5/query_cmdrels_weight_analyze/1_1_1/au_341584.xlsx","au_341584")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HYPERLINK("./new_k5/query_cmdrels_weight_analyze/1_1_1/au_346864.xlsx","au_346864")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0.2857142857142857</v>
      </c>
      <c r="F109">
        <v>0.23809523809523811</v>
      </c>
      <c r="G109">
        <v>0.37142857142857139</v>
      </c>
    </row>
    <row r="110" spans="1:7" x14ac:dyDescent="0.15">
      <c r="A110" t="str">
        <f>HYPERLINK("./new_k5/query_cmdrels_weight_analyze/1_1_1/au_351765.xlsx","au_351765")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0.5</v>
      </c>
    </row>
    <row r="111" spans="1:7" x14ac:dyDescent="0.15">
      <c r="A111" t="str">
        <f>HYPERLINK("./new_k5/query_cmdrels_weight_analyze/1_1_1/au_35922.xlsx","au_35922")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HYPERLINK("./new_k5/query_cmdrels_weight_analyze/1_1_1/au_359856.xlsx","au_359856")</f>
        <v>au_359856</v>
      </c>
      <c r="B112">
        <v>0.25</v>
      </c>
      <c r="C112">
        <v>0.25</v>
      </c>
      <c r="D112">
        <v>0.75</v>
      </c>
      <c r="E112">
        <v>0.5</v>
      </c>
      <c r="F112">
        <v>0.95</v>
      </c>
      <c r="G112">
        <v>0.5</v>
      </c>
    </row>
    <row r="113" spans="1:7" x14ac:dyDescent="0.15">
      <c r="A113" t="str">
        <f>HYPERLINK("./new_k5/query_cmdrels_weight_analyze/1_1_1/au_360423.xlsx","au_360423")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HYPERLINK("./new_k5/query_cmdrels_weight_analyze/1_1_1/au_36287.xlsx","au_36287")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HYPERLINK("./new_k5/query_cmdrels_weight_analyze/1_1_1/au_366742.xlsx","au_366742")</f>
        <v>au_366742</v>
      </c>
      <c r="B115">
        <v>0</v>
      </c>
      <c r="C115">
        <v>0</v>
      </c>
      <c r="D115">
        <v>0</v>
      </c>
      <c r="E115">
        <v>0.125</v>
      </c>
      <c r="F115">
        <v>0</v>
      </c>
      <c r="G115">
        <v>0.22500000000000001</v>
      </c>
    </row>
    <row r="116" spans="1:7" x14ac:dyDescent="0.15">
      <c r="A116" t="str">
        <f>HYPERLINK("./new_k5/query_cmdrels_weight_analyze/1_1_1/au_377937.xlsx","au_377937")</f>
        <v>au_377937</v>
      </c>
      <c r="B116">
        <v>0.25</v>
      </c>
      <c r="C116">
        <v>0.25</v>
      </c>
      <c r="D116">
        <v>0.5</v>
      </c>
      <c r="E116">
        <v>0.5</v>
      </c>
      <c r="F116">
        <v>0.5</v>
      </c>
      <c r="G116">
        <v>0.6875</v>
      </c>
    </row>
    <row r="117" spans="1:7" x14ac:dyDescent="0.15">
      <c r="A117" t="str">
        <f>HYPERLINK("./new_k5/query_cmdrels_weight_analyze/1_1_1/au_383997.xlsx","au_383997")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0.39285714285714279</v>
      </c>
    </row>
    <row r="118" spans="1:7" x14ac:dyDescent="0.15">
      <c r="A118" t="str">
        <f>HYPERLINK("./new_k5/query_cmdrels_weight_analyze/1_1_1/au_3883.xlsx","au_3883")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0.35</v>
      </c>
    </row>
    <row r="119" spans="1:7" x14ac:dyDescent="0.15">
      <c r="A119" t="str">
        <f>HYPERLINK("./new_k5/query_cmdrels_weight_analyze/1_1_1/au_396883.xlsx","au_396883")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HYPERLINK("./new_k5/query_cmdrels_weight_analyze/1_1_1/au_39760.xlsx","au_39760")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HYPERLINK("./new_k5/query_cmdrels_weight_analyze/1_1_1/au_398818.xlsx","au_398818")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HYPERLINK("./new_k5/query_cmdrels_weight_analyze/1_1_1/au_400807.xlsx","au_400807")</f>
        <v>au_400807</v>
      </c>
      <c r="B122">
        <v>0</v>
      </c>
      <c r="C122">
        <v>0.33333333333333331</v>
      </c>
      <c r="D122">
        <v>0.16666666666666671</v>
      </c>
      <c r="E122">
        <v>0.55555555555555547</v>
      </c>
      <c r="F122">
        <v>0.16666666666666671</v>
      </c>
      <c r="G122">
        <v>0.75555555555555554</v>
      </c>
    </row>
    <row r="123" spans="1:7" x14ac:dyDescent="0.15">
      <c r="A123" t="str">
        <f>HYPERLINK("./new_k5/query_cmdrels_weight_analyze/1_1_1/au_408611.xlsx","au_408611")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HYPERLINK("./new_k5/query_cmdrels_weight_analyze/1_1_1/au_414737.xlsx","au_414737")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HYPERLINK("./new_k5/query_cmdrels_weight_analyze/1_1_1/au_420722.xlsx","au_420722")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HYPERLINK("./new_k5/query_cmdrels_weight_analyze/1_1_1/au_423942.xlsx","au_423942")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HYPERLINK("./new_k5/query_cmdrels_weight_analyze/1_1_1/au_430382.xlsx","au_430382")</f>
        <v>au_430382</v>
      </c>
      <c r="B127">
        <v>0</v>
      </c>
      <c r="C127">
        <v>0.25</v>
      </c>
      <c r="D127">
        <v>0.29166666666666657</v>
      </c>
      <c r="E127">
        <v>0.5</v>
      </c>
      <c r="F127">
        <v>0.29166666666666657</v>
      </c>
      <c r="G127">
        <v>0.5</v>
      </c>
    </row>
    <row r="128" spans="1:7" x14ac:dyDescent="0.15">
      <c r="A128" t="str">
        <f>HYPERLINK("./new_k5/query_cmdrels_weight_analyze/1_1_1/au_432836.xlsx","au_432836")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HYPERLINK("./new_k5/query_cmdrels_weight_analyze/1_1_1/au_440326.xlsx","au_440326")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HYPERLINK("./new_k5/query_cmdrels_weight_analyze/1_1_1/au_442914.xlsx","au_442914")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HYPERLINK("./new_k5/query_cmdrels_weight_analyze/1_1_1/au_443227.xlsx","au_443227")</f>
        <v>au_443227</v>
      </c>
      <c r="B131">
        <v>0.5</v>
      </c>
      <c r="C131">
        <v>0</v>
      </c>
      <c r="D131">
        <v>0.5</v>
      </c>
      <c r="E131">
        <v>0.16666666666666671</v>
      </c>
      <c r="F131">
        <v>0.5</v>
      </c>
      <c r="G131">
        <v>0.16666666666666671</v>
      </c>
    </row>
    <row r="132" spans="1:7" x14ac:dyDescent="0.15">
      <c r="A132" t="str">
        <f>HYPERLINK("./new_k5/query_cmdrels_weight_analyze/1_1_1/au_44534.xlsx","au_44534")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HYPERLINK("./new_k5/query_cmdrels_weight_analyze/1_1_1/au_451805.xlsx","au_451805")</f>
        <v>au_451805</v>
      </c>
      <c r="B133">
        <v>0.33333333333333331</v>
      </c>
      <c r="C133">
        <v>0.33333333333333331</v>
      </c>
      <c r="D133">
        <v>0.33333333333333331</v>
      </c>
      <c r="E133">
        <v>0.33333333333333331</v>
      </c>
      <c r="F133">
        <v>0.33333333333333331</v>
      </c>
      <c r="G133">
        <v>0.33333333333333331</v>
      </c>
    </row>
    <row r="134" spans="1:7" x14ac:dyDescent="0.15">
      <c r="A134" t="str">
        <f>HYPERLINK("./new_k5/query_cmdrels_weight_analyze/1_1_1/au_464264.xlsx","au_464264")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0.16666666666666671</v>
      </c>
    </row>
    <row r="135" spans="1:7" x14ac:dyDescent="0.15">
      <c r="A135" t="str">
        <f>HYPERLINK("./new_k5/query_cmdrels_weight_analyze/1_1_1/au_468808.xlsx","au_468808")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HYPERLINK("./new_k5/query_cmdrels_weight_analyze/1_1_1/au_469143.xlsx","au_469143")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HYPERLINK("./new_k5/query_cmdrels_weight_analyze/1_1_1/au_470237.xlsx","au_470237")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HYPERLINK("./new_k5/query_cmdrels_weight_analyze/1_1_1/au_473037.xlsx","au_473037")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0.125</v>
      </c>
    </row>
    <row r="139" spans="1:7" x14ac:dyDescent="0.15">
      <c r="A139" t="str">
        <f>HYPERLINK("./new_k5/query_cmdrels_weight_analyze/1_1_1/au_48362.xlsx","au_48362")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HYPERLINK("./new_k5/query_cmdrels_weight_analyze/1_1_1/au_488435.xlsx","au_488435")</f>
        <v>au_488435</v>
      </c>
      <c r="B140">
        <v>0</v>
      </c>
      <c r="C140">
        <v>0</v>
      </c>
      <c r="D140">
        <v>0.125</v>
      </c>
      <c r="E140">
        <v>8.3333333333333329E-2</v>
      </c>
      <c r="F140">
        <v>0.25</v>
      </c>
      <c r="G140">
        <v>0.18333333333333329</v>
      </c>
    </row>
    <row r="141" spans="1:7" x14ac:dyDescent="0.15">
      <c r="A141" t="str">
        <f>HYPERLINK("./new_k5/query_cmdrels_weight_analyze/1_1_1/au_493826.xlsx","au_493826")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HYPERLINK("./new_k5/query_cmdrels_weight_analyze/1_1_1/au_502110.xlsx","au_502110")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HYPERLINK("./new_k5/query_cmdrels_weight_analyze/1_1_1/au_50344.xlsx","au_50344")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HYPERLINK("./new_k5/query_cmdrels_weight_analyze/1_1_1/au_511467.xlsx","au_511467")</f>
        <v>au_511467</v>
      </c>
      <c r="B144">
        <v>0</v>
      </c>
      <c r="C144">
        <v>0.16666666666666671</v>
      </c>
      <c r="D144">
        <v>0.19444444444444439</v>
      </c>
      <c r="E144">
        <v>0.33333333333333331</v>
      </c>
      <c r="F144">
        <v>0.19444444444444439</v>
      </c>
      <c r="G144">
        <v>0.45833333333333331</v>
      </c>
    </row>
    <row r="145" spans="1:7" x14ac:dyDescent="0.15">
      <c r="A145" t="str">
        <f>HYPERLINK("./new_k5/query_cmdrels_weight_analyze/1_1_1/au_513046.xlsx","au_513046")</f>
        <v>au_513046</v>
      </c>
      <c r="B145">
        <v>0.25</v>
      </c>
      <c r="C145">
        <v>0</v>
      </c>
      <c r="D145">
        <v>0.5</v>
      </c>
      <c r="E145">
        <v>8.3333333333333329E-2</v>
      </c>
      <c r="F145">
        <v>0.5</v>
      </c>
      <c r="G145">
        <v>0.35833333333333328</v>
      </c>
    </row>
    <row r="146" spans="1:7" x14ac:dyDescent="0.15">
      <c r="A146" t="str">
        <f>HYPERLINK("./new_k5/query_cmdrels_weight_analyze/1_1_1/au_517354.xlsx","au_517354")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0.34523809523809518</v>
      </c>
    </row>
    <row r="147" spans="1:7" x14ac:dyDescent="0.15">
      <c r="A147" t="str">
        <f>HYPERLINK("./new_k5/query_cmdrels_weight_analyze/1_1_1/au_522431.xlsx","au_522431")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0.3833333333333333</v>
      </c>
    </row>
    <row r="148" spans="1:7" x14ac:dyDescent="0.15">
      <c r="A148" t="str">
        <f>HYPERLINK("./new_k5/query_cmdrels_weight_analyze/1_1_1/au_52773.xlsx","au_52773")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0.05</v>
      </c>
    </row>
    <row r="149" spans="1:7" x14ac:dyDescent="0.15">
      <c r="A149" t="str">
        <f>HYPERLINK("./new_k5/query_cmdrels_weight_analyze/1_1_1/au_528411.xlsx","au_528411")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HYPERLINK("./new_k5/query_cmdrels_weight_analyze/1_1_1/au_53263.xlsx","au_53263")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1</v>
      </c>
    </row>
    <row r="151" spans="1:7" x14ac:dyDescent="0.15">
      <c r="A151" t="str">
        <f>HYPERLINK("./new_k5/query_cmdrels_weight_analyze/1_1_1/au_53444.xlsx","au_53444")</f>
        <v>au_53444</v>
      </c>
      <c r="B151">
        <v>0.5</v>
      </c>
      <c r="C151">
        <v>0</v>
      </c>
      <c r="D151">
        <v>0.5</v>
      </c>
      <c r="E151">
        <v>0</v>
      </c>
      <c r="F151">
        <v>0.5</v>
      </c>
      <c r="G151">
        <v>0.125</v>
      </c>
    </row>
    <row r="152" spans="1:7" x14ac:dyDescent="0.15">
      <c r="A152" t="str">
        <f>HYPERLINK("./new_k5/query_cmdrels_weight_analyze/1_1_1/au_538208.xlsx","au_538208")</f>
        <v>au_538208</v>
      </c>
      <c r="B152">
        <v>0.125</v>
      </c>
      <c r="C152">
        <v>0.125</v>
      </c>
      <c r="D152">
        <v>0.375</v>
      </c>
      <c r="E152">
        <v>0.25</v>
      </c>
      <c r="F152">
        <v>0.5</v>
      </c>
      <c r="G152">
        <v>0.44374999999999998</v>
      </c>
    </row>
    <row r="153" spans="1:7" x14ac:dyDescent="0.15">
      <c r="A153" t="str">
        <f>HYPERLINK("./new_k5/query_cmdrels_weight_analyze/1_1_1/au_53822.xlsx","au_53822")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HYPERLINK("./new_k5/query_cmdrels_weight_analyze/1_1_1/au_539243.xlsx","au_539243")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0.33333333333333331</v>
      </c>
    </row>
    <row r="155" spans="1:7" x14ac:dyDescent="0.15">
      <c r="A155" t="str">
        <f>HYPERLINK("./new_k5/query_cmdrels_weight_analyze/1_1_1/au_558280.xlsx","au_558280")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HYPERLINK("./new_k5/query_cmdrels_weight_analyze/1_1_1/au_558669.xlsx","au_558669")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HYPERLINK("./new_k5/query_cmdrels_weight_analyze/1_1_1/au_55868.xlsx","au_55868")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HYPERLINK("./new_k5/query_cmdrels_weight_analyze/1_1_1/au_561.xlsx","au_561")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0.5</v>
      </c>
    </row>
    <row r="159" spans="1:7" x14ac:dyDescent="0.15">
      <c r="A159" t="str">
        <f>HYPERLINK("./new_k5/query_cmdrels_weight_analyze/1_1_1/au_564567.xlsx","au_564567")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HYPERLINK("./new_k5/query_cmdrels_weight_analyze/1_1_1/au_57994.xlsx","au_57994")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0.5714285714285714</v>
      </c>
    </row>
    <row r="161" spans="1:7" x14ac:dyDescent="0.15">
      <c r="A161" t="str">
        <f>HYPERLINK("./new_k5/query_cmdrels_weight_analyze/1_1_1/au_589210.xlsx","au_589210")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0.375</v>
      </c>
    </row>
    <row r="162" spans="1:7" x14ac:dyDescent="0.15">
      <c r="A162" t="str">
        <f>HYPERLINK("./new_k5/query_cmdrels_weight_analyze/1_1_1/au_5911.xlsx","au_5911")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HYPERLINK("./new_k5/query_cmdrels_weight_analyze/1_1_1/au_59356.xlsx","au_59356")</f>
        <v>au_59356</v>
      </c>
      <c r="B163">
        <v>0</v>
      </c>
      <c r="C163">
        <v>0</v>
      </c>
      <c r="D163">
        <v>0.16666666666666671</v>
      </c>
      <c r="E163">
        <v>0</v>
      </c>
      <c r="F163">
        <v>0.16666666666666671</v>
      </c>
      <c r="G163">
        <v>0</v>
      </c>
    </row>
    <row r="164" spans="1:7" x14ac:dyDescent="0.15">
      <c r="A164" t="str">
        <f>HYPERLINK("./new_k5/query_cmdrels_weight_analyze/1_1_1/au_609850.xlsx","au_609850")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HYPERLINK("./new_k5/query_cmdrels_weight_analyze/1_1_1/au_61408.xlsx","au_61408")</f>
        <v>au_61408</v>
      </c>
      <c r="B165">
        <v>0</v>
      </c>
      <c r="C165">
        <v>0.33333333333333331</v>
      </c>
      <c r="D165">
        <v>0.16666666666666671</v>
      </c>
      <c r="E165">
        <v>0.55555555555555547</v>
      </c>
      <c r="F165">
        <v>0.16666666666666671</v>
      </c>
      <c r="G165">
        <v>0.55555555555555547</v>
      </c>
    </row>
    <row r="166" spans="1:7" x14ac:dyDescent="0.15">
      <c r="A166" t="str">
        <f>HYPERLINK("./new_k5/query_cmdrels_weight_analyze/1_1_1/au_617850.xlsx","au_617850")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HYPERLINK("./new_k5/query_cmdrels_weight_analyze/1_1_1/au_62073.xlsx","au_62073")</f>
        <v>au_62073</v>
      </c>
      <c r="B167">
        <v>0</v>
      </c>
      <c r="C167">
        <v>0.2</v>
      </c>
      <c r="D167">
        <v>0.23333333333333331</v>
      </c>
      <c r="E167">
        <v>0.4</v>
      </c>
      <c r="F167">
        <v>0.23333333333333331</v>
      </c>
      <c r="G167">
        <v>0.71</v>
      </c>
    </row>
    <row r="168" spans="1:7" x14ac:dyDescent="0.15">
      <c r="A168" t="str">
        <f>HYPERLINK("./new_k5/query_cmdrels_weight_analyze/1_1_1/au_620930.xlsx","au_620930")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0.48333333333333328</v>
      </c>
    </row>
    <row r="169" spans="1:7" x14ac:dyDescent="0.15">
      <c r="A169" t="str">
        <f>HYPERLINK("./new_k5/query_cmdrels_weight_analyze/1_1_1/au_62492.xlsx","au_62492")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HYPERLINK("./new_k5/query_cmdrels_weight_analyze/1_1_1/au_626078.xlsx","au_626078")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HYPERLINK("./new_k5/query_cmdrels_weight_analyze/1_1_1/au_636944.xlsx","au_636944")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HYPERLINK("./new_k5/query_cmdrels_weight_analyze/1_1_1/au_648603.xlsx","au_648603")</f>
        <v>au_648603</v>
      </c>
      <c r="B172">
        <v>0.25</v>
      </c>
      <c r="C172">
        <v>0.25</v>
      </c>
      <c r="D172">
        <v>0.25</v>
      </c>
      <c r="E172">
        <v>0.25</v>
      </c>
      <c r="F172">
        <v>0.25</v>
      </c>
      <c r="G172">
        <v>0.52500000000000002</v>
      </c>
    </row>
    <row r="173" spans="1:7" x14ac:dyDescent="0.15">
      <c r="A173" t="str">
        <f>HYPERLINK("./new_k5/query_cmdrels_weight_analyze/1_1_1/au_65331.xlsx","au_65331")</f>
        <v>au_65331</v>
      </c>
      <c r="B173">
        <v>0</v>
      </c>
      <c r="C173">
        <v>0.16666666666666671</v>
      </c>
      <c r="D173">
        <v>8.3333333333333329E-2</v>
      </c>
      <c r="E173">
        <v>0.27777777777777768</v>
      </c>
      <c r="F173">
        <v>0.16666666666666671</v>
      </c>
      <c r="G173">
        <v>0.37777777777777782</v>
      </c>
    </row>
    <row r="174" spans="1:7" x14ac:dyDescent="0.15">
      <c r="A174" t="str">
        <f>HYPERLINK("./new_k5/query_cmdrels_weight_analyze/1_1_1/au_66000.xlsx","au_66000")</f>
        <v>au_66000</v>
      </c>
      <c r="B174">
        <v>0</v>
      </c>
      <c r="C174">
        <v>0.2</v>
      </c>
      <c r="D174">
        <v>0</v>
      </c>
      <c r="E174">
        <v>0.33333333333333331</v>
      </c>
      <c r="F174">
        <v>0</v>
      </c>
      <c r="G174">
        <v>0.64333333333333331</v>
      </c>
    </row>
    <row r="175" spans="1:7" x14ac:dyDescent="0.15">
      <c r="A175" t="str">
        <f>HYPERLINK("./new_k5/query_cmdrels_weight_analyze/1_1_1/au_660846.xlsx","au_660846")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HYPERLINK("./new_k5/query_cmdrels_weight_analyze/1_1_1/au_662935.xlsx","au_662935")</f>
        <v>au_662935</v>
      </c>
      <c r="B176">
        <v>0.125</v>
      </c>
      <c r="C176">
        <v>0.125</v>
      </c>
      <c r="D176">
        <v>0.125</v>
      </c>
      <c r="E176">
        <v>0.375</v>
      </c>
      <c r="F176">
        <v>0.125</v>
      </c>
      <c r="G176">
        <v>0.375</v>
      </c>
    </row>
    <row r="177" spans="1:7" x14ac:dyDescent="0.15">
      <c r="A177" t="str">
        <f>HYPERLINK("./new_k5/query_cmdrels_weight_analyze/1_1_1/au_67663.xlsx","au_67663")</f>
        <v>au_67663</v>
      </c>
      <c r="B177">
        <v>0</v>
      </c>
      <c r="C177">
        <v>0.25</v>
      </c>
      <c r="D177">
        <v>0.29166666666666657</v>
      </c>
      <c r="E177">
        <v>0.75</v>
      </c>
      <c r="F177">
        <v>0.29166666666666657</v>
      </c>
      <c r="G177">
        <v>0.75</v>
      </c>
    </row>
    <row r="178" spans="1:7" x14ac:dyDescent="0.15">
      <c r="A178" t="str">
        <f>HYPERLINK("./new_k5/query_cmdrels_weight_analyze/1_1_1/au_68028.xlsx","au_68028")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0.42857142857142849</v>
      </c>
      <c r="F178">
        <v>0.37142857142857139</v>
      </c>
      <c r="G178">
        <v>0.42857142857142849</v>
      </c>
    </row>
    <row r="179" spans="1:7" x14ac:dyDescent="0.15">
      <c r="A179" t="str">
        <f>HYPERLINK("./new_k5/query_cmdrels_weight_analyze/1_1_1/au_681312.xlsx","au_681312")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0.42857142857142849</v>
      </c>
      <c r="F179">
        <v>0.42857142857142849</v>
      </c>
      <c r="G179">
        <v>0.54285714285714282</v>
      </c>
    </row>
    <row r="180" spans="1:7" x14ac:dyDescent="0.15">
      <c r="A180" t="str">
        <f>HYPERLINK("./new_k5/query_cmdrels_weight_analyze/1_1_1/au_686239.xlsx","au_686239")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HYPERLINK("./new_k5/query_cmdrels_weight_analyze/1_1_1/au_68809.xlsx","au_68809")</f>
        <v>au_68809</v>
      </c>
      <c r="B181">
        <v>0.125</v>
      </c>
      <c r="C181">
        <v>0.125</v>
      </c>
      <c r="D181">
        <v>0.20833333333333329</v>
      </c>
      <c r="E181">
        <v>0.125</v>
      </c>
      <c r="F181">
        <v>0.28333333333333333</v>
      </c>
      <c r="G181">
        <v>0.1875</v>
      </c>
    </row>
    <row r="182" spans="1:7" x14ac:dyDescent="0.15">
      <c r="A182" t="str">
        <f>HYPERLINK("./new_k5/query_cmdrels_weight_analyze/1_1_1/au_69556.xlsx","au_69556")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HYPERLINK("./new_k5/query_cmdrels_weight_analyze/1_1_1/au_698993.xlsx","au_698993")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HYPERLINK("./new_k5/query_cmdrels_weight_analyze/1_1_1/au_707881.xlsx","au_707881")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HYPERLINK("./new_k5/query_cmdrels_weight_analyze/1_1_1/au_709594.xlsx","au_709594")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HYPERLINK("./new_k5/query_cmdrels_weight_analyze/1_1_1/au_71309.xlsx","au_71309")</f>
        <v>au_71309</v>
      </c>
      <c r="B186">
        <v>0.125</v>
      </c>
      <c r="C186">
        <v>0.125</v>
      </c>
      <c r="D186">
        <v>0.20833333333333329</v>
      </c>
      <c r="E186">
        <v>0.20833333333333329</v>
      </c>
      <c r="F186">
        <v>0.20833333333333329</v>
      </c>
      <c r="G186">
        <v>0.30208333333333331</v>
      </c>
    </row>
    <row r="187" spans="1:7" x14ac:dyDescent="0.15">
      <c r="A187" t="str">
        <f>HYPERLINK("./new_k5/query_cmdrels_weight_analyze/1_1_1/au_7138.xlsx","au_7138")</f>
        <v>au_7138</v>
      </c>
      <c r="B187">
        <v>0.25</v>
      </c>
      <c r="C187">
        <v>0</v>
      </c>
      <c r="D187">
        <v>0.75</v>
      </c>
      <c r="E187">
        <v>8.3333333333333329E-2</v>
      </c>
      <c r="F187">
        <v>0.75</v>
      </c>
      <c r="G187">
        <v>8.3333333333333329E-2</v>
      </c>
    </row>
    <row r="188" spans="1:7" x14ac:dyDescent="0.15">
      <c r="A188" t="str">
        <f>HYPERLINK("./new_k5/query_cmdrels_weight_analyze/1_1_1/au_72549.xlsx","au_72549")</f>
        <v>au_72549</v>
      </c>
      <c r="B188">
        <v>0</v>
      </c>
      <c r="C188">
        <v>0.25</v>
      </c>
      <c r="D188">
        <v>0</v>
      </c>
      <c r="E188">
        <v>0.25</v>
      </c>
      <c r="F188">
        <v>0</v>
      </c>
      <c r="G188">
        <v>0.25</v>
      </c>
    </row>
    <row r="189" spans="1:7" x14ac:dyDescent="0.15">
      <c r="A189" t="str">
        <f>HYPERLINK("./new_k5/query_cmdrels_weight_analyze/1_1_1/au_740805.xlsx","au_740805")</f>
        <v>au_740805</v>
      </c>
      <c r="B189">
        <v>0.25</v>
      </c>
      <c r="C189">
        <v>0</v>
      </c>
      <c r="D189">
        <v>0.41666666666666657</v>
      </c>
      <c r="E189">
        <v>0.125</v>
      </c>
      <c r="F189">
        <v>0.41666666666666657</v>
      </c>
      <c r="G189">
        <v>0.22500000000000001</v>
      </c>
    </row>
    <row r="190" spans="1:7" x14ac:dyDescent="0.15">
      <c r="A190" t="str">
        <f>HYPERLINK("./new_k5/query_cmdrels_weight_analyze/1_1_1/au_760796.xlsx","au_760796")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HYPERLINK("./new_k5/query_cmdrels_weight_analyze/1_1_1/au_762846.xlsx","au_762846")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0.43333333333333329</v>
      </c>
    </row>
    <row r="192" spans="1:7" x14ac:dyDescent="0.15">
      <c r="A192" t="str">
        <f>HYPERLINK("./new_k5/query_cmdrels_weight_analyze/1_1_1/au_767786.xlsx","au_767786")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0.8</v>
      </c>
    </row>
    <row r="193" spans="1:7" x14ac:dyDescent="0.15">
      <c r="A193" t="str">
        <f>HYPERLINK("./new_k5/query_cmdrels_weight_analyze/1_1_1/au_778906.xlsx","au_778906")</f>
        <v>au_778906</v>
      </c>
      <c r="B193">
        <v>0.2</v>
      </c>
      <c r="C193">
        <v>0.2</v>
      </c>
      <c r="D193">
        <v>0.33333333333333331</v>
      </c>
      <c r="E193">
        <v>0.6</v>
      </c>
      <c r="F193">
        <v>0.33333333333333331</v>
      </c>
      <c r="G193">
        <v>0.6</v>
      </c>
    </row>
    <row r="194" spans="1:7" x14ac:dyDescent="0.15">
      <c r="A194" t="str">
        <f>HYPERLINK("./new_k5/query_cmdrels_weight_analyze/1_1_1/au_818929.xlsx","au_818929")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0.42</v>
      </c>
    </row>
    <row r="195" spans="1:7" x14ac:dyDescent="0.15">
      <c r="A195" t="str">
        <f>HYPERLINK("./new_k5/query_cmdrels_weight_analyze/1_1_1/au_844876.xlsx","au_844876")</f>
        <v>au_844876</v>
      </c>
      <c r="B195">
        <v>0.5</v>
      </c>
      <c r="C195">
        <v>0.5</v>
      </c>
      <c r="D195">
        <v>0.5</v>
      </c>
      <c r="E195">
        <v>1</v>
      </c>
      <c r="F195">
        <v>0.5</v>
      </c>
      <c r="G195">
        <v>1</v>
      </c>
    </row>
    <row r="196" spans="1:7" x14ac:dyDescent="0.15">
      <c r="A196" t="str">
        <f>HYPERLINK("./new_k5/query_cmdrels_weight_analyze/1_1_1/au_85318.xlsx","au_85318")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0.4</v>
      </c>
    </row>
    <row r="197" spans="1:7" x14ac:dyDescent="0.15">
      <c r="A197" t="str">
        <f>HYPERLINK("./new_k5/query_cmdrels_weight_analyze/1_1_1/au_854332.xlsx","au_854332")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HYPERLINK("./new_k5/query_cmdrels_weight_analyze/1_1_1/au_854373.xlsx","au_854373")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HYPERLINK("./new_k5/query_cmdrels_weight_analyze/1_1_1/au_86843.xlsx","au_86843")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HYPERLINK("./new_k5/query_cmdrels_weight_analyze/1_1_1/au_88108.xlsx","au_88108")</f>
        <v>au_88108</v>
      </c>
      <c r="B200">
        <v>0</v>
      </c>
      <c r="C200">
        <v>0</v>
      </c>
      <c r="D200">
        <v>0.1</v>
      </c>
      <c r="E200">
        <v>0</v>
      </c>
      <c r="F200">
        <v>0.1</v>
      </c>
      <c r="G200">
        <v>0.04</v>
      </c>
    </row>
    <row r="201" spans="1:7" x14ac:dyDescent="0.15">
      <c r="A201" t="str">
        <f>HYPERLINK("./new_k5/query_cmdrels_weight_analyze/1_1_1/au_90214.xlsx","au_90214")</f>
        <v>au_90214</v>
      </c>
      <c r="B201">
        <v>0</v>
      </c>
      <c r="C201">
        <v>0</v>
      </c>
      <c r="D201">
        <v>0.16666666666666671</v>
      </c>
      <c r="E201">
        <v>0.1111111111111111</v>
      </c>
      <c r="F201">
        <v>0.16666666666666671</v>
      </c>
      <c r="G201">
        <v>0.24444444444444449</v>
      </c>
    </row>
    <row r="202" spans="1:7" x14ac:dyDescent="0.15">
      <c r="A202" t="str">
        <f>HYPERLINK("./new_k5/query_cmdrels_weight_analyze/1_1_1/au_90339.xlsx","au_90339")</f>
        <v>au_90339</v>
      </c>
      <c r="B202">
        <v>0</v>
      </c>
      <c r="C202">
        <v>0</v>
      </c>
      <c r="D202">
        <v>4.7619047619047623E-2</v>
      </c>
      <c r="E202">
        <v>0.16666666666666671</v>
      </c>
      <c r="F202">
        <v>0.2047619047619047</v>
      </c>
      <c r="G202">
        <v>0.16666666666666671</v>
      </c>
    </row>
    <row r="203" spans="1:7" x14ac:dyDescent="0.15">
      <c r="A203" t="str">
        <f>HYPERLINK("./new_k5/query_cmdrels_weight_analyze/1_1_1/au_91286.xlsx","au_91286")</f>
        <v>au_91286</v>
      </c>
      <c r="B203">
        <v>0.5</v>
      </c>
      <c r="C203">
        <v>0</v>
      </c>
      <c r="D203">
        <v>0.5</v>
      </c>
      <c r="E203">
        <v>0.16666666666666671</v>
      </c>
      <c r="F203">
        <v>0.5</v>
      </c>
      <c r="G203">
        <v>0.16666666666666671</v>
      </c>
    </row>
    <row r="204" spans="1:7" x14ac:dyDescent="0.15">
      <c r="A204" t="str">
        <f>HYPERLINK("./new_k5/query_cmdrels_weight_analyze/1_1_1/au_9135.xlsx","au_9135")</f>
        <v>au_9135</v>
      </c>
      <c r="B204">
        <v>0.1</v>
      </c>
      <c r="C204">
        <v>0</v>
      </c>
      <c r="D204">
        <v>0.16666666666666671</v>
      </c>
      <c r="E204">
        <v>0.1166666666666667</v>
      </c>
      <c r="F204">
        <v>0.24166666666666661</v>
      </c>
      <c r="G204">
        <v>0.19166666666666671</v>
      </c>
    </row>
    <row r="205" spans="1:7" x14ac:dyDescent="0.15">
      <c r="A205" t="str">
        <f>HYPERLINK("./new_k5/query_cmdrels_weight_analyze/1_1_1/au_935569.xlsx","au_935569")</f>
        <v>au_935569</v>
      </c>
      <c r="B205">
        <v>0.14285714285714279</v>
      </c>
      <c r="C205">
        <v>0</v>
      </c>
      <c r="D205">
        <v>0.42857142857142849</v>
      </c>
      <c r="E205">
        <v>0.16666666666666671</v>
      </c>
      <c r="F205">
        <v>0.54285714285714282</v>
      </c>
      <c r="G205">
        <v>0.16666666666666671</v>
      </c>
    </row>
    <row r="206" spans="1:7" x14ac:dyDescent="0.15">
      <c r="A206" t="str">
        <f>HYPERLINK("./new_k5/query_cmdrels_weight_analyze/1_1_1/au_97936.xlsx","au_97936")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HYPERLINK("./new_k5/query_cmdrels_weight_analyze/1_1_1/so_10235778.xlsx","so_10235778")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HYPERLINK("./new_k5/query_cmdrels_weight_analyze/1_1_1/so_1045910.xlsx","so_1045910")</f>
        <v>so_1045910</v>
      </c>
      <c r="B208">
        <v>0.25</v>
      </c>
      <c r="C208">
        <v>0</v>
      </c>
      <c r="D208">
        <v>0.25</v>
      </c>
      <c r="E208">
        <v>0.29166666666666657</v>
      </c>
      <c r="F208">
        <v>0.25</v>
      </c>
      <c r="G208">
        <v>0.29166666666666657</v>
      </c>
    </row>
    <row r="209" spans="1:7" x14ac:dyDescent="0.15">
      <c r="A209" t="str">
        <f>HYPERLINK("./new_k5/query_cmdrels_weight_analyze/1_1_1/so_10557360.xlsx","so_10557360")</f>
        <v>so_10557360</v>
      </c>
      <c r="B209">
        <v>0</v>
      </c>
      <c r="C209">
        <v>0</v>
      </c>
      <c r="D209">
        <v>0</v>
      </c>
      <c r="E209">
        <v>6.6666666666666666E-2</v>
      </c>
      <c r="F209">
        <v>0</v>
      </c>
      <c r="G209">
        <v>6.6666666666666666E-2</v>
      </c>
    </row>
    <row r="210" spans="1:7" x14ac:dyDescent="0.15">
      <c r="A210" t="str">
        <f>HYPERLINK("./new_k5/query_cmdrels_weight_analyze/1_1_1/so_1058047.xlsx","so_1058047")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0.375</v>
      </c>
    </row>
    <row r="211" spans="1:7" x14ac:dyDescent="0.15">
      <c r="A211" t="str">
        <f>HYPERLINK("./new_k5/query_cmdrels_weight_analyze/1_1_1/so_10829402.xlsx","so_10829402")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HYPERLINK("./new_k5/query_cmdrels_weight_analyze/1_1_1/so_1088098.xlsx","so_1088098")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0.25</v>
      </c>
    </row>
    <row r="213" spans="1:7" x14ac:dyDescent="0.15">
      <c r="A213" t="str">
        <f>HYPERLINK("./new_k5/query_cmdrels_weight_analyze/1_1_1/so_10990949.xlsx","so_10990949")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0.5</v>
      </c>
    </row>
    <row r="214" spans="1:7" x14ac:dyDescent="0.15">
      <c r="A214" t="str">
        <f>HYPERLINK("./new_k5/query_cmdrels_weight_analyze/1_1_1/so_11211705.xlsx","so_11211705")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HYPERLINK("./new_k5/query_cmdrels_weight_analyze/1_1_1/so_112932.xlsx","so_112932")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HYPERLINK("./new_k5/query_cmdrels_weight_analyze/1_1_1/so_11392189.xlsx","so_11392189")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8.3333333333333329E-2</v>
      </c>
    </row>
    <row r="217" spans="1:7" x14ac:dyDescent="0.15">
      <c r="A217" t="str">
        <f>HYPERLINK("./new_k5/query_cmdrels_weight_analyze/1_1_1/so_1183183.xlsx","so_1183183")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HYPERLINK("./new_k5/query_cmdrels_weight_analyze/1_1_1/so_1194882.xlsx","so_1194882")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HYPERLINK("./new_k5/query_cmdrels_weight_analyze/1_1_1/so_12120935.xlsx","so_12120935")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HYPERLINK("./new_k5/query_cmdrels_weight_analyze/1_1_1/so_12313384.xlsx","so_12313384")</f>
        <v>so_12313384</v>
      </c>
      <c r="B220">
        <v>0</v>
      </c>
      <c r="C220">
        <v>0.33333333333333331</v>
      </c>
      <c r="D220">
        <v>0.16666666666666671</v>
      </c>
      <c r="E220">
        <v>0.66666666666666663</v>
      </c>
      <c r="F220">
        <v>0.16666666666666671</v>
      </c>
      <c r="G220">
        <v>0.66666666666666663</v>
      </c>
    </row>
    <row r="221" spans="1:7" x14ac:dyDescent="0.15">
      <c r="A221" t="str">
        <f>HYPERLINK("./new_k5/query_cmdrels_weight_analyze/1_1_1/so_12392598.xlsx","so_12392598")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0.42857142857142849</v>
      </c>
      <c r="F221">
        <v>0.2857142857142857</v>
      </c>
      <c r="G221">
        <v>0.54285714285714282</v>
      </c>
    </row>
    <row r="222" spans="1:7" x14ac:dyDescent="0.15">
      <c r="A222" t="str">
        <f>HYPERLINK("./new_k5/query_cmdrels_weight_analyze/1_1_1/so_1241801.xlsx","so_1241801")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HYPERLINK("./new_k5/query_cmdrels_weight_analyze/1_1_1/so_12522269.xlsx","so_12522269")</f>
        <v>so_12522269</v>
      </c>
      <c r="B223">
        <v>0.2</v>
      </c>
      <c r="C223">
        <v>0</v>
      </c>
      <c r="D223">
        <v>0.2</v>
      </c>
      <c r="E223">
        <v>0.1</v>
      </c>
      <c r="F223">
        <v>0.28000000000000003</v>
      </c>
      <c r="G223">
        <v>0.1</v>
      </c>
    </row>
    <row r="224" spans="1:7" x14ac:dyDescent="0.15">
      <c r="A224" t="str">
        <f>HYPERLINK("./new_k5/query_cmdrels_weight_analyze/1_1_1/so_1293907.xlsx","so_1293907")</f>
        <v>so_1293907</v>
      </c>
      <c r="B224">
        <v>0</v>
      </c>
      <c r="C224">
        <v>0.33333333333333331</v>
      </c>
      <c r="D224">
        <v>0</v>
      </c>
      <c r="E224">
        <v>0.55555555555555547</v>
      </c>
      <c r="F224">
        <v>8.3333333333333329E-2</v>
      </c>
      <c r="G224">
        <v>0.75555555555555554</v>
      </c>
    </row>
    <row r="225" spans="1:7" x14ac:dyDescent="0.15">
      <c r="A225" t="str">
        <f>HYPERLINK("./new_k5/query_cmdrels_weight_analyze/1_1_1/so_13428910.xlsx","so_13428910")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HYPERLINK("./new_k5/query_cmdrels_weight_analyze/1_1_1/so_135688.xlsx","so_135688")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HYPERLINK("./new_k5/query_cmdrels_weight_analyze/1_1_1/so_13778273.xlsx","so_13778273")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HYPERLINK("./new_k5/query_cmdrels_weight_analyze/1_1_1/so_1405611.xlsx","so_1405611")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</v>
      </c>
      <c r="F228">
        <v>0.33333333333333331</v>
      </c>
      <c r="G228">
        <v>8.3333333333333329E-2</v>
      </c>
    </row>
    <row r="229" spans="1:7" x14ac:dyDescent="0.15">
      <c r="A229" t="str">
        <f>HYPERLINK("./new_k5/query_cmdrels_weight_analyze/1_1_1/so_14300794.xlsx","so_14300794")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HYPERLINK("./new_k5/query_cmdrels_weight_analyze/1_1_1/so_143791.xlsx","so_143791")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HYPERLINK("./new_k5/query_cmdrels_weight_analyze/1_1_1/so_14750650.xlsx","so_14750650")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0.05</v>
      </c>
    </row>
    <row r="232" spans="1:7" x14ac:dyDescent="0.15">
      <c r="A232" t="str">
        <f>HYPERLINK("./new_k5/query_cmdrels_weight_analyze/1_1_1/so_14978411.xlsx","so_14978411")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HYPERLINK("./new_k5/query_cmdrels_weight_analyze/1_1_1/so_15236308.xlsx","so_15236308")</f>
        <v>so_15236308</v>
      </c>
      <c r="B233">
        <v>0.25</v>
      </c>
      <c r="C233">
        <v>0.25</v>
      </c>
      <c r="D233">
        <v>0.25</v>
      </c>
      <c r="E233">
        <v>0.5</v>
      </c>
      <c r="F233">
        <v>0.25</v>
      </c>
      <c r="G233">
        <v>0.6875</v>
      </c>
    </row>
    <row r="234" spans="1:7" x14ac:dyDescent="0.15">
      <c r="A234" t="str">
        <f>HYPERLINK("./new_k5/query_cmdrels_weight_analyze/1_1_1/so_15286947.xlsx","so_15286947")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HYPERLINK("./new_k5/query_cmdrels_weight_analyze/1_1_1/so_15402770.xlsx","so_15402770")</f>
        <v>so_15402770</v>
      </c>
      <c r="B235">
        <v>0</v>
      </c>
      <c r="C235">
        <v>0.16666666666666671</v>
      </c>
      <c r="D235">
        <v>0.19444444444444439</v>
      </c>
      <c r="E235">
        <v>0.27777777777777768</v>
      </c>
      <c r="F235">
        <v>0.19444444444444439</v>
      </c>
      <c r="G235">
        <v>0.40277777777777768</v>
      </c>
    </row>
    <row r="236" spans="1:7" x14ac:dyDescent="0.15">
      <c r="A236" t="str">
        <f>HYPERLINK("./new_k5/query_cmdrels_weight_analyze/1_1_1/so_1570262.xlsx","so_1570262")</f>
        <v>so_1570262</v>
      </c>
      <c r="B236">
        <v>0</v>
      </c>
      <c r="C236">
        <v>0</v>
      </c>
      <c r="D236">
        <v>0</v>
      </c>
      <c r="E236">
        <v>6.6666666666666666E-2</v>
      </c>
      <c r="F236">
        <v>0</v>
      </c>
      <c r="G236">
        <v>0.1466666666666667</v>
      </c>
    </row>
    <row r="237" spans="1:7" x14ac:dyDescent="0.15">
      <c r="A237" t="str">
        <f>HYPERLINK("./new_k5/query_cmdrels_weight_analyze/1_1_1/so_1583219.xlsx","so_1583219")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HYPERLINK("./new_k5/query_cmdrels_weight_analyze/1_1_1/so_15872543.xlsx","so_15872543")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HYPERLINK("./new_k5/query_cmdrels_weight_analyze/1_1_1/so_16038087.xlsx","so_16038087")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0.5714285714285714</v>
      </c>
    </row>
    <row r="240" spans="1:7" x14ac:dyDescent="0.15">
      <c r="A240" t="str">
        <f>HYPERLINK("./new_k5/query_cmdrels_weight_analyze/1_1_1/so_16212656.xlsx","so_16212656")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HYPERLINK("./new_k5/query_cmdrels_weight_analyze/1_1_1/so_16575419.xlsx","so_16575419")</f>
        <v>so_16575419</v>
      </c>
      <c r="B241">
        <v>0.25</v>
      </c>
      <c r="C241">
        <v>0.25</v>
      </c>
      <c r="D241">
        <v>0.25</v>
      </c>
      <c r="E241">
        <v>0.75</v>
      </c>
      <c r="F241">
        <v>0.25</v>
      </c>
      <c r="G241">
        <v>0.75</v>
      </c>
    </row>
    <row r="242" spans="1:7" x14ac:dyDescent="0.15">
      <c r="A242" t="str">
        <f>HYPERLINK("./new_k5/query_cmdrels_weight_analyze/1_1_1/so_17582768.xlsx","so_17582768")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8.3333333333333329E-2</v>
      </c>
    </row>
    <row r="243" spans="1:7" x14ac:dyDescent="0.15">
      <c r="A243" t="str">
        <f>HYPERLINK("./new_k5/query_cmdrels_weight_analyze/1_1_1/so_17607612.xlsx","so_17607612")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HYPERLINK("./new_k5/query_cmdrels_weight_analyze/1_1_1/so_17829785.xlsx","so_17829785")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HYPERLINK("./new_k5/query_cmdrels_weight_analyze/1_1_1/so_1839841.xlsx","so_1839841")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HYPERLINK("./new_k5/query_cmdrels_weight_analyze/1_1_1/so_18468716.xlsx","so_18468716")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0.46666666666666662</v>
      </c>
    </row>
    <row r="247" spans="1:7" x14ac:dyDescent="0.15">
      <c r="A247" t="str">
        <f>HYPERLINK("./new_k5/query_cmdrels_weight_analyze/1_1_1/so_19196105.xlsx","so_19196105")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0.19166666666666671</v>
      </c>
    </row>
    <row r="248" spans="1:7" x14ac:dyDescent="0.15">
      <c r="A248" t="str">
        <f>HYPERLINK("./new_k5/query_cmdrels_weight_analyze/1_1_1/so_19482123.xlsx","so_19482123")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HYPERLINK("./new_k5/query_cmdrels_weight_analyze/1_1_1/so_1975849.xlsx","so_1975849")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HYPERLINK("./new_k5/query_cmdrels_weight_analyze/1_1_1/so_212528.xlsx","so_212528")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0.45833333333333331</v>
      </c>
    </row>
    <row r="251" spans="1:7" x14ac:dyDescent="0.15">
      <c r="A251" t="str">
        <f>HYPERLINK("./new_k5/query_cmdrels_weight_analyze/1_1_1/so_21620406.xlsx","so_21620406")</f>
        <v>so_21620406</v>
      </c>
      <c r="B251">
        <v>0</v>
      </c>
      <c r="C251">
        <v>0</v>
      </c>
      <c r="D251">
        <v>0.1111111111111111</v>
      </c>
      <c r="E251">
        <v>0</v>
      </c>
      <c r="F251">
        <v>0.1111111111111111</v>
      </c>
      <c r="G251">
        <v>8.3333333333333329E-2</v>
      </c>
    </row>
    <row r="252" spans="1:7" x14ac:dyDescent="0.15">
      <c r="A252" t="str">
        <f>HYPERLINK("./new_k5/query_cmdrels_weight_analyze/1_1_1/so_23509348.xlsx","so_23509348")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HYPERLINK("./new_k5/query_cmdrels_weight_analyze/1_1_1/so_24058544.xlsx","so_24058544")</f>
        <v>so_24058544</v>
      </c>
      <c r="B253">
        <v>0.2</v>
      </c>
      <c r="C253">
        <v>0.2</v>
      </c>
      <c r="D253">
        <v>0.2</v>
      </c>
      <c r="E253">
        <v>0.33333333333333331</v>
      </c>
      <c r="F253">
        <v>0.2</v>
      </c>
      <c r="G253">
        <v>0.33333333333333331</v>
      </c>
    </row>
    <row r="254" spans="1:7" x14ac:dyDescent="0.15">
      <c r="A254" t="str">
        <f>HYPERLINK("./new_k5/query_cmdrels_weight_analyze/1_1_1/so_24283097.xlsx","so_24283097")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HYPERLINK("./new_k5/query_cmdrels_weight_analyze/1_1_1/so_26256279.xlsx","so_26256279")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HYPERLINK("./new_k5/query_cmdrels_weight_analyze/1_1_1/so_26331651.xlsx","so_26331651")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HYPERLINK("./new_k5/query_cmdrels_weight_analyze/1_1_1/so_26988262.xlsx","so_26988262")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HYPERLINK("./new_k5/query_cmdrels_weight_analyze/1_1_1/so_27238411.xlsx","so_27238411")</f>
        <v>so_27238411</v>
      </c>
      <c r="B258">
        <v>0.2</v>
      </c>
      <c r="C258">
        <v>0.2</v>
      </c>
      <c r="D258">
        <v>0.6</v>
      </c>
      <c r="E258">
        <v>0.6</v>
      </c>
      <c r="F258">
        <v>0.6</v>
      </c>
      <c r="G258">
        <v>0.6</v>
      </c>
    </row>
    <row r="259" spans="1:7" x14ac:dyDescent="0.15">
      <c r="A259" t="str">
        <f>HYPERLINK("./new_k5/query_cmdrels_weight_analyze/1_1_1/so_27943059.xlsx","so_27943059")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0.33333333333333331</v>
      </c>
      <c r="F259">
        <v>0.16666666666666671</v>
      </c>
      <c r="G259">
        <v>0.5</v>
      </c>
    </row>
    <row r="260" spans="1:7" x14ac:dyDescent="0.15">
      <c r="A260" t="str">
        <f>HYPERLINK("./new_k5/query_cmdrels_weight_analyze/1_1_1/so_28869004.xlsx","so_28869004")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0.5</v>
      </c>
    </row>
    <row r="261" spans="1:7" x14ac:dyDescent="0.15">
      <c r="A261" t="str">
        <f>HYPERLINK("./new_k5/query_cmdrels_weight_analyze/1_1_1/so_2973624.xlsx","so_2973624")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1</v>
      </c>
      <c r="F261">
        <v>0.66666666666666663</v>
      </c>
      <c r="G261">
        <v>1</v>
      </c>
    </row>
    <row r="262" spans="1:7" x14ac:dyDescent="0.15">
      <c r="A262" t="str">
        <f>HYPERLINK("./new_k5/query_cmdrels_weight_analyze/1_1_1/so_30177455.xlsx","so_30177455")</f>
        <v>so_30177455</v>
      </c>
      <c r="B262">
        <v>0</v>
      </c>
      <c r="C262">
        <v>0</v>
      </c>
      <c r="D262">
        <v>0.16666666666666671</v>
      </c>
      <c r="E262">
        <v>0.1111111111111111</v>
      </c>
      <c r="F262">
        <v>0.16666666666666671</v>
      </c>
      <c r="G262">
        <v>0.1111111111111111</v>
      </c>
    </row>
    <row r="263" spans="1:7" x14ac:dyDescent="0.15">
      <c r="A263" t="str">
        <f>HYPERLINK("./new_k5/query_cmdrels_weight_analyze/1_1_1/so_30251889.xlsx","so_30251889")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0.6791666666666667</v>
      </c>
    </row>
    <row r="264" spans="1:7" x14ac:dyDescent="0.15">
      <c r="A264" t="str">
        <f>HYPERLINK("./new_k5/query_cmdrels_weight_analyze/1_1_1/so_305035.xlsx","so_305035")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HYPERLINK("./new_k5/query_cmdrels_weight_analyze/1_1_1/so_36249744.xlsx","so_36249744")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HYPERLINK("./new_k5/query_cmdrels_weight_analyze/1_1_1/so_3643848.xlsx","so_3643848")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HYPERLINK("./new_k5/query_cmdrels_weight_analyze/1_1_1/so_3667329.xlsx","so_3667329")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HYPERLINK("./new_k5/query_cmdrels_weight_analyze/1_1_1/so_369758.xlsx","so_369758")</f>
        <v>so_369758</v>
      </c>
      <c r="B268">
        <v>0.2</v>
      </c>
      <c r="C268">
        <v>0.2</v>
      </c>
      <c r="D268">
        <v>0.4</v>
      </c>
      <c r="E268">
        <v>0.33333333333333331</v>
      </c>
      <c r="F268">
        <v>0.4</v>
      </c>
      <c r="G268">
        <v>0.48333333333333328</v>
      </c>
    </row>
    <row r="269" spans="1:7" x14ac:dyDescent="0.15">
      <c r="A269" t="str">
        <f>HYPERLINK("./new_k5/query_cmdrels_weight_analyze/1_1_1/so_3756323.xlsx","so_3756323")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</v>
      </c>
    </row>
    <row r="270" spans="1:7" x14ac:dyDescent="0.15">
      <c r="A270" t="str">
        <f>HYPERLINK("./new_k5/query_cmdrels_weight_analyze/1_1_1/so_3767267.xlsx","so_3767267")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HYPERLINK("./new_k5/query_cmdrels_weight_analyze/1_1_1/so_3833578.xlsx","so_3833578")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HYPERLINK("./new_k5/query_cmdrels_weight_analyze/1_1_1/so_3891076.xlsx","so_3891076")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0.52500000000000002</v>
      </c>
    </row>
    <row r="273" spans="1:7" x14ac:dyDescent="0.15">
      <c r="A273" t="str">
        <f>HYPERLINK("./new_k5/query_cmdrels_weight_analyze/1_1_1/so_3963085.xlsx","so_3963085")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HYPERLINK("./new_k5/query_cmdrels_weight_analyze/1_1_1/so_4325216.xlsx","so_4325216")</f>
        <v>so_4325216</v>
      </c>
      <c r="B274">
        <v>0.5</v>
      </c>
      <c r="C274">
        <v>0.5</v>
      </c>
      <c r="D274">
        <v>0.5</v>
      </c>
      <c r="E274">
        <v>1</v>
      </c>
      <c r="F274">
        <v>0.5</v>
      </c>
      <c r="G274">
        <v>1</v>
      </c>
    </row>
    <row r="275" spans="1:7" x14ac:dyDescent="0.15">
      <c r="A275" t="str">
        <f>HYPERLINK("./new_k5/query_cmdrels_weight_analyze/1_1_1/so_448005.xlsx","so_448005")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HYPERLINK("./new_k5/query_cmdrels_weight_analyze/1_1_1/so_4921879.xlsx","so_4921879")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HYPERLINK("./new_k5/query_cmdrels_weight_analyze/1_1_1/so_4922943.xlsx","so_4922943")</f>
        <v>so_4922943</v>
      </c>
      <c r="B277">
        <v>0.2</v>
      </c>
      <c r="C277">
        <v>0.2</v>
      </c>
      <c r="D277">
        <v>0.33333333333333331</v>
      </c>
      <c r="E277">
        <v>0.33333333333333331</v>
      </c>
      <c r="F277">
        <v>0.33333333333333331</v>
      </c>
      <c r="G277">
        <v>0.33333333333333331</v>
      </c>
    </row>
    <row r="278" spans="1:7" x14ac:dyDescent="0.15">
      <c r="A278" t="str">
        <f>HYPERLINK("./new_k5/query_cmdrels_weight_analyze/1_1_1/so_5119946.xlsx","so_5119946")</f>
        <v>so_5119946</v>
      </c>
      <c r="B278">
        <v>0.5</v>
      </c>
      <c r="C278">
        <v>0</v>
      </c>
      <c r="D278">
        <v>0.5</v>
      </c>
      <c r="E278">
        <v>0.58333333333333326</v>
      </c>
      <c r="F278">
        <v>0.5</v>
      </c>
      <c r="G278">
        <v>0.58333333333333326</v>
      </c>
    </row>
    <row r="279" spans="1:7" x14ac:dyDescent="0.15">
      <c r="A279" t="str">
        <f>HYPERLINK("./new_k5/query_cmdrels_weight_analyze/1_1_1/so_5164985.xlsx","so_5164985")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HYPERLINK("./new_k5/query_cmdrels_weight_analyze/1_1_1/so_5306153.xlsx","so_5306153")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HYPERLINK("./new_k5/query_cmdrels_weight_analyze/1_1_1/so_5566310.xlsx","so_5566310")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HYPERLINK("./new_k5/query_cmdrels_weight_analyze/1_1_1/so_5927369.xlsx","so_5927369")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HYPERLINK("./new_k5/query_cmdrels_weight_analyze/1_1_1/so_5947742.xlsx","so_5947742")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HYPERLINK("./new_k5/query_cmdrels_weight_analyze/1_1_1/so_614795.xlsx","so_614795")</f>
        <v>so_614795</v>
      </c>
      <c r="B284">
        <v>0</v>
      </c>
      <c r="C284">
        <v>0</v>
      </c>
      <c r="D284">
        <v>0</v>
      </c>
      <c r="E284">
        <v>0.16666666666666671</v>
      </c>
      <c r="F284">
        <v>0</v>
      </c>
      <c r="G284">
        <v>0.16666666666666671</v>
      </c>
    </row>
    <row r="285" spans="1:7" x14ac:dyDescent="0.15">
      <c r="A285" t="str">
        <f>HYPERLINK("./new_k5/query_cmdrels_weight_analyze/1_1_1/so_6207573.xlsx","so_6207573")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0.42857142857142849</v>
      </c>
      <c r="F285">
        <v>0.37142857142857139</v>
      </c>
      <c r="G285">
        <v>0.42857142857142849</v>
      </c>
    </row>
    <row r="286" spans="1:7" x14ac:dyDescent="0.15">
      <c r="A286" t="str">
        <f>HYPERLINK("./new_k5/query_cmdrels_weight_analyze/1_1_1/so_6283167.xlsx","so_6283167")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0.65</v>
      </c>
    </row>
    <row r="287" spans="1:7" x14ac:dyDescent="0.15">
      <c r="A287" t="str">
        <f>HYPERLINK("./new_k5/query_cmdrels_weight_analyze/1_1_1/so_6329505.xlsx","so_6329505")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HYPERLINK("./new_k5/query_cmdrels_weight_analyze/1_1_1/so_6423532.xlsx","so_6423532")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HYPERLINK("./new_k5/query_cmdrels_weight_analyze/1_1_1/so_669438.xlsx","so_669438")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0.45333333333333331</v>
      </c>
    </row>
    <row r="290" spans="1:7" x14ac:dyDescent="0.15">
      <c r="A290" t="str">
        <f>HYPERLINK("./new_k5/query_cmdrels_weight_analyze/1_1_1/so_7052875.xlsx","so_7052875")</f>
        <v>so_7052875</v>
      </c>
      <c r="B290">
        <v>0.2</v>
      </c>
      <c r="C290">
        <v>0</v>
      </c>
      <c r="D290">
        <v>0.2</v>
      </c>
      <c r="E290">
        <v>0.1</v>
      </c>
      <c r="F290">
        <v>0.2</v>
      </c>
      <c r="G290">
        <v>0.18</v>
      </c>
    </row>
    <row r="291" spans="1:7" x14ac:dyDescent="0.15">
      <c r="A291" t="str">
        <f>HYPERLINK("./new_k5/query_cmdrels_weight_analyze/1_1_1/so_7221757.xlsx","so_7221757")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HYPERLINK("./new_k5/query_cmdrels_weight_analyze/1_1_1/so_750604.xlsx","so_750604")</f>
        <v>so_750604</v>
      </c>
      <c r="B292">
        <v>0</v>
      </c>
      <c r="C292">
        <v>0</v>
      </c>
      <c r="D292">
        <v>0.1111111111111111</v>
      </c>
      <c r="E292">
        <v>0.16666666666666671</v>
      </c>
      <c r="F292">
        <v>0.1111111111111111</v>
      </c>
      <c r="G292">
        <v>0.33333333333333331</v>
      </c>
    </row>
    <row r="293" spans="1:7" x14ac:dyDescent="0.15">
      <c r="A293" t="str">
        <f>HYPERLINK("./new_k5/query_cmdrels_weight_analyze/1_1_1/so_7575267.xlsx","so_7575267")</f>
        <v>so_7575267</v>
      </c>
      <c r="B293">
        <v>0</v>
      </c>
      <c r="C293">
        <v>0.25</v>
      </c>
      <c r="D293">
        <v>0</v>
      </c>
      <c r="E293">
        <v>0.75</v>
      </c>
      <c r="F293">
        <v>0</v>
      </c>
      <c r="G293">
        <v>0.75</v>
      </c>
    </row>
    <row r="294" spans="1:7" x14ac:dyDescent="0.15">
      <c r="A294" t="str">
        <f>HYPERLINK("./new_k5/query_cmdrels_weight_analyze/1_1_1/so_7698488.xlsx","so_7698488")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0.16250000000000001</v>
      </c>
    </row>
    <row r="295" spans="1:7" x14ac:dyDescent="0.15">
      <c r="A295" t="str">
        <f>HYPERLINK("./new_k5/query_cmdrels_weight_analyze/1_1_1/so_801095.xlsx","so_801095")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0.33333333333333331</v>
      </c>
      <c r="F295">
        <v>0.33333333333333331</v>
      </c>
      <c r="G295">
        <v>0.5</v>
      </c>
    </row>
    <row r="296" spans="1:7" x14ac:dyDescent="0.15">
      <c r="A296" t="str">
        <f>HYPERLINK("./new_k5/query_cmdrels_weight_analyze/1_1_1/so_8249705.xlsx","so_8249705")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HYPERLINK("./new_k5/query_cmdrels_weight_analyze/1_1_1/so_8423541.xlsx","so_8423541")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HYPERLINK("./new_k5/query_cmdrels_weight_analyze/1_1_1/so_8654051.xlsx","so_8654051")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HYPERLINK("./new_k5/query_cmdrels_weight_analyze/1_1_1/so_890262.xlsx","so_890262")</f>
        <v>so_890262</v>
      </c>
      <c r="B299">
        <v>0</v>
      </c>
      <c r="C299">
        <v>0</v>
      </c>
      <c r="D299">
        <v>0</v>
      </c>
      <c r="E299">
        <v>0.38888888888888878</v>
      </c>
      <c r="F299">
        <v>0</v>
      </c>
      <c r="G299">
        <v>0.38888888888888878</v>
      </c>
    </row>
    <row r="300" spans="1:7" x14ac:dyDescent="0.15">
      <c r="A300" t="str">
        <f>HYPERLINK("./new_k5/query_cmdrels_weight_analyze/1_1_1/so_893585.xlsx","so_893585")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HYPERLINK("./new_k5/query_cmdrels_weight_analyze/1_1_1/so_9223460.xlsx","so_9223460")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HYPERLINK("./new_k5/query_cmdrels_weight_analyze/1_1_1/so_9245638.xlsx","so_9245638")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HYPERLINK("./new_k5/query_cmdrels_weight_analyze/1_1_1/so_9304953.xlsx","so_9304953")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HYPERLINK("./new_k5/query_cmdrels_weight_analyze/1_1_1/so_9361816.xlsx","so_9361816")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HYPERLINK("./new_k5/query_cmdrels_weight_analyze/1_1_1/su_116617.xlsx","su_116617")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HYPERLINK("./new_k5/query_cmdrels_weight_analyze/1_1_1/su_120045.xlsx","su_120045")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HYPERLINK("./new_k5/query_cmdrels_weight_analyze/1_1_1/su_127863.xlsx","su_127863")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HYPERLINK("./new_k5/query_cmdrels_weight_analyze/1_1_1/su_135498.xlsx","su_135498")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HYPERLINK("./new_k5/query_cmdrels_weight_analyze/1_1_1/su_147027.xlsx","su_147027")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HYPERLINK("./new_k5/query_cmdrels_weight_analyze/1_1_1/su_151911.xlsx","su_151911")</f>
        <v>su_151911</v>
      </c>
      <c r="B310">
        <v>0</v>
      </c>
      <c r="C310">
        <v>0</v>
      </c>
      <c r="D310">
        <v>0</v>
      </c>
      <c r="E310">
        <v>8.3333333333333329E-2</v>
      </c>
      <c r="F310">
        <v>0</v>
      </c>
      <c r="G310">
        <v>8.3333333333333329E-2</v>
      </c>
    </row>
    <row r="311" spans="1:7" x14ac:dyDescent="0.15">
      <c r="A311" t="str">
        <f>HYPERLINK("./new_k5/query_cmdrels_weight_analyze/1_1_1/su_153415.xlsx","su_153415")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HYPERLINK("./new_k5/query_cmdrels_weight_analyze/1_1_1/su_156189.xlsx","su_156189")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0.27777777777777768</v>
      </c>
    </row>
    <row r="313" spans="1:7" x14ac:dyDescent="0.15">
      <c r="A313" t="str">
        <f>HYPERLINK("./new_k5/query_cmdrels_weight_analyze/1_1_1/su_161531.xlsx","su_161531")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HYPERLINK("./new_k5/query_cmdrels_weight_analyze/1_1_1/su_204209.xlsx","su_204209")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HYPERLINK("./new_k5/query_cmdrels_weight_analyze/1_1_1/su_214390.xlsx","su_214390")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HYPERLINK("./new_k5/query_cmdrels_weight_analyze/1_1_1/su_215483.xlsx","su_215483")</f>
        <v>su_215483</v>
      </c>
      <c r="B316">
        <v>0.5</v>
      </c>
      <c r="C316">
        <v>0.5</v>
      </c>
      <c r="D316">
        <v>1</v>
      </c>
      <c r="E316">
        <v>0.83333333333333326</v>
      </c>
      <c r="F316">
        <v>1</v>
      </c>
      <c r="G316">
        <v>0.83333333333333326</v>
      </c>
    </row>
    <row r="317" spans="1:7" x14ac:dyDescent="0.15">
      <c r="A317" t="str">
        <f>HYPERLINK("./new_k5/query_cmdrels_weight_analyze/1_1_1/su_215504.xlsx","su_215504")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0.47916666666666657</v>
      </c>
    </row>
    <row r="318" spans="1:7" x14ac:dyDescent="0.15">
      <c r="A318" t="str">
        <f>HYPERLINK("./new_k5/query_cmdrels_weight_analyze/1_1_1/su_227385.xlsx","su_227385")</f>
        <v>su_227385</v>
      </c>
      <c r="B318">
        <v>0</v>
      </c>
      <c r="C318">
        <v>0</v>
      </c>
      <c r="D318">
        <v>0</v>
      </c>
      <c r="E318">
        <v>0.29166666666666657</v>
      </c>
      <c r="F318">
        <v>0</v>
      </c>
      <c r="G318">
        <v>0.6791666666666667</v>
      </c>
    </row>
    <row r="319" spans="1:7" x14ac:dyDescent="0.15">
      <c r="A319" t="str">
        <f>HYPERLINK("./new_k5/query_cmdrels_weight_analyze/1_1_1/su_273254.xlsx","su_273254")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HYPERLINK("./new_k5/query_cmdrels_weight_analyze/1_1_1/su_294161.xlsx","su_294161")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HYPERLINK("./new_k5/query_cmdrels_weight_analyze/1_1_1/su_302396.xlsx","su_302396")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HYPERLINK("./new_k5/query_cmdrels_weight_analyze/1_1_1/su_303981.xlsx","su_303981")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HYPERLINK("./new_k5/query_cmdrels_weight_analyze/1_1_1/su_305128.xlsx","su_305128")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HYPERLINK("./new_k5/query_cmdrels_weight_analyze/1_1_1/su_31512.xlsx","su_31512")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HYPERLINK("./new_k5/query_cmdrels_weight_analyze/1_1_1/su_380520.xlsx","su_380520")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</v>
      </c>
    </row>
    <row r="326" spans="1:7" x14ac:dyDescent="0.15">
      <c r="A326" t="str">
        <f>HYPERLINK("./new_k5/query_cmdrels_weight_analyze/1_1_1/su_38981.xlsx","su_38981")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HYPERLINK("./new_k5/query_cmdrels_weight_analyze/1_1_1/su_437330.xlsx","su_437330")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HYPERLINK("./new_k5/query_cmdrels_weight_analyze/1_1_1/su_441379.xlsx","su_441379")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HYPERLINK("./new_k5/query_cmdrels_weight_analyze/1_1_1/su_462788.xlsx","su_462788")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0.22222222222222221</v>
      </c>
      <c r="F329">
        <v>0.30555555555555558</v>
      </c>
      <c r="G329">
        <v>0.39444444444444438</v>
      </c>
    </row>
    <row r="330" spans="1:7" x14ac:dyDescent="0.15">
      <c r="A330" t="str">
        <f>HYPERLINK("./new_k5/query_cmdrels_weight_analyze/1_1_1/su_626606.xlsx","su_626606")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0.83333333333333337</v>
      </c>
    </row>
    <row r="331" spans="1:7" x14ac:dyDescent="0.15">
      <c r="A331" t="str">
        <f>HYPERLINK("./new_k5/query_cmdrels_weight_analyze/1_1_1/su_634469.xlsx","su_634469")</f>
        <v>su_634469</v>
      </c>
      <c r="B331">
        <v>0</v>
      </c>
      <c r="C331">
        <v>0.16666666666666671</v>
      </c>
      <c r="D331">
        <v>0</v>
      </c>
      <c r="E331">
        <v>0.27777777777777768</v>
      </c>
      <c r="F331">
        <v>0</v>
      </c>
      <c r="G331">
        <v>0.37777777777777782</v>
      </c>
    </row>
    <row r="332" spans="1:7" x14ac:dyDescent="0.15">
      <c r="A332" t="str">
        <f>HYPERLINK("./new_k5/query_cmdrels_weight_analyze/1_1_1/su_638616.xlsx","su_638616")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HYPERLINK("./new_k5/query_cmdrels_weight_analyze/1_1_1/su_678113.xlsx","su_678113")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HYPERLINK("./new_k5/query_cmdrels_weight_analyze/1_1_1/su_686394.xlsx","su_686394")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HYPERLINK("./new_k5/query_cmdrels_weight_analyze/1_1_1/su_716795.xlsx","su_716795")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0.125</v>
      </c>
    </row>
    <row r="336" spans="1:7" x14ac:dyDescent="0.15">
      <c r="A336" t="str">
        <f>HYPERLINK("./new_k5/query_cmdrels_weight_analyze/1_1_1/su_758463.xlsx","su_758463")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HYPERLINK("./new_k5/query_cmdrels_weight_analyze/1_1_1/su_766437.xlsx","su_766437")</f>
        <v>su_766437</v>
      </c>
      <c r="B337">
        <v>0</v>
      </c>
      <c r="C337">
        <v>0</v>
      </c>
      <c r="D337">
        <v>0</v>
      </c>
      <c r="E337">
        <v>0.1</v>
      </c>
      <c r="F337">
        <v>0.05</v>
      </c>
      <c r="G337">
        <v>0.32</v>
      </c>
    </row>
    <row r="338" spans="1:7" x14ac:dyDescent="0.15">
      <c r="A338" t="str">
        <f>HYPERLINK("./new_k5/query_cmdrels_weight_analyze/1_1_1/su_904001.xlsx","su_904001")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HYPERLINK("./new_k5/query_cmdrels_weight_analyze/1_1_1/ul_100959.xlsx","ul_100959")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HYPERLINK("./new_k5/query_cmdrels_weight_analyze/1_1_1/ul_101073.xlsx","ul_101073")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HYPERLINK("./new_k5/query_cmdrels_weight_analyze/1_1_1/ul_101237.xlsx","ul_101237")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HYPERLINK("./new_k5/query_cmdrels_weight_analyze/1_1_1/ul_102752.xlsx","ul_102752")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HYPERLINK("./new_k5/query_cmdrels_weight_analyze/1_1_1/ul_108174.xlsx","ul_108174")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HYPERLINK("./new_k5/query_cmdrels_weight_analyze/1_1_1/ul_109536.xlsx","ul_109536")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HYPERLINK("./new_k5/query_cmdrels_weight_analyze/1_1_1/ul_112050.xlsx","ul_112050")</f>
        <v>ul_112050</v>
      </c>
      <c r="B345">
        <v>0</v>
      </c>
      <c r="C345">
        <v>0.25</v>
      </c>
      <c r="D345">
        <v>0.125</v>
      </c>
      <c r="E345">
        <v>0.75</v>
      </c>
      <c r="F345">
        <v>0.125</v>
      </c>
      <c r="G345">
        <v>0.75</v>
      </c>
    </row>
    <row r="346" spans="1:7" x14ac:dyDescent="0.15">
      <c r="A346" t="str">
        <f>HYPERLINK("./new_k5/query_cmdrels_weight_analyze/1_1_1/ul_116070.xlsx","ul_116070")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HYPERLINK("./new_k5/query_cmdrels_weight_analyze/1_1_1/ul_11851.xlsx","ul_11851")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HYPERLINK("./new_k5/query_cmdrels_weight_analyze/1_1_1/ul_119126.xlsx","ul_119126")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HYPERLINK("./new_k5/query_cmdrels_weight_analyze/1_1_1/ul_121718.xlsx","ul_121718")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HYPERLINK("./new_k5/query_cmdrels_weight_analyze/1_1_1/ul_12227.xlsx","ul_12227")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HYPERLINK("./new_k5/query_cmdrels_weight_analyze/1_1_1/ul_12453.xlsx","ul_12453")</f>
        <v>ul_12453</v>
      </c>
      <c r="B351">
        <v>0</v>
      </c>
      <c r="C351">
        <v>0.25</v>
      </c>
      <c r="D351">
        <v>0.125</v>
      </c>
      <c r="E351">
        <v>0.75</v>
      </c>
      <c r="F351">
        <v>0.125</v>
      </c>
      <c r="G351">
        <v>1</v>
      </c>
    </row>
    <row r="352" spans="1:7" x14ac:dyDescent="0.15">
      <c r="A352" t="str">
        <f>HYPERLINK("./new_k5/query_cmdrels_weight_analyze/1_1_1/ul_12535.xlsx","ul_12535")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0.16666666666666671</v>
      </c>
    </row>
    <row r="353" spans="1:7" x14ac:dyDescent="0.15">
      <c r="A353" t="str">
        <f>HYPERLINK("./new_k5/query_cmdrels_weight_analyze/1_1_1/ul_127066.xlsx","ul_127066")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0.60416666666666663</v>
      </c>
    </row>
    <row r="354" spans="1:7" x14ac:dyDescent="0.15">
      <c r="A354" t="str">
        <f>HYPERLINK("./new_k5/query_cmdrels_weight_analyze/1_1_1/ul_128953.xlsx","ul_128953")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HYPERLINK("./new_k5/query_cmdrels_weight_analyze/1_1_1/ul_134829.xlsx","ul_134829")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0.66666666666666663</v>
      </c>
    </row>
    <row r="356" spans="1:7" x14ac:dyDescent="0.15">
      <c r="A356" t="str">
        <f>HYPERLINK("./new_k5/query_cmdrels_weight_analyze/1_1_1/ul_136371.xlsx","ul_136371")</f>
        <v>ul_136371</v>
      </c>
      <c r="B356">
        <v>0</v>
      </c>
      <c r="C356">
        <v>0</v>
      </c>
      <c r="D356">
        <v>0</v>
      </c>
      <c r="E356">
        <v>0.16666666666666671</v>
      </c>
      <c r="F356">
        <v>0</v>
      </c>
      <c r="G356">
        <v>0.3</v>
      </c>
    </row>
    <row r="357" spans="1:7" x14ac:dyDescent="0.15">
      <c r="A357" t="str">
        <f>HYPERLINK("./new_k5/query_cmdrels_weight_analyze/1_1_1/ul_136884.xlsx","ul_136884")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HYPERLINK("./new_k5/query_cmdrels_weight_analyze/1_1_1/ul_138398.xlsx","ul_138398")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HYPERLINK("./new_k5/query_cmdrels_weight_analyze/1_1_1/ul_139271.xlsx","ul_139271")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0.33333333333333331</v>
      </c>
      <c r="F359">
        <v>0.33333333333333331</v>
      </c>
      <c r="G359">
        <v>0.45833333333333331</v>
      </c>
    </row>
    <row r="360" spans="1:7" x14ac:dyDescent="0.15">
      <c r="A360" t="str">
        <f>HYPERLINK("./new_k5/query_cmdrels_weight_analyze/1_1_1/ul_140482.xlsx","ul_140482")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HYPERLINK("./new_k5/query_cmdrels_weight_analyze/1_1_1/ul_14191.xlsx","ul_14191")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0.1111111111111111</v>
      </c>
    </row>
    <row r="362" spans="1:7" x14ac:dyDescent="0.15">
      <c r="A362" t="str">
        <f>HYPERLINK("./new_k5/query_cmdrels_weight_analyze/1_1_1/ul_145929.xlsx","ul_145929")</f>
        <v>ul_145929</v>
      </c>
      <c r="B362">
        <v>0</v>
      </c>
      <c r="C362">
        <v>0</v>
      </c>
      <c r="D362">
        <v>0.16666666666666671</v>
      </c>
      <c r="E362">
        <v>0.25</v>
      </c>
      <c r="F362">
        <v>0.16666666666666671</v>
      </c>
      <c r="G362">
        <v>0.5</v>
      </c>
    </row>
    <row r="363" spans="1:7" x14ac:dyDescent="0.15">
      <c r="A363" t="str">
        <f>HYPERLINK("./new_k5/query_cmdrels_weight_analyze/1_1_1/ul_148985.xlsx","ul_148985")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HYPERLINK("./new_k5/query_cmdrels_weight_analyze/1_1_1/ul_15405.xlsx","ul_15405")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HYPERLINK("./new_k5/query_cmdrels_weight_analyze/1_1_1/ul_155551.xlsx","ul_155551")</f>
        <v>ul_155551</v>
      </c>
      <c r="B365">
        <v>0</v>
      </c>
      <c r="C365">
        <v>0.5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HYPERLINK("./new_k5/query_cmdrels_weight_analyze/1_1_1/ul_159672.xlsx","ul_159672")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HYPERLINK("./new_k5/query_cmdrels_weight_analyze/1_1_1/ul_163845.xlsx","ul_163845")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HYPERLINK("./new_k5/query_cmdrels_weight_analyze/1_1_1/ul_16407.xlsx","ul_16407")</f>
        <v>ul_16407</v>
      </c>
      <c r="B368">
        <v>0.5</v>
      </c>
      <c r="C368">
        <v>0.5</v>
      </c>
      <c r="D368">
        <v>0.5</v>
      </c>
      <c r="E368">
        <v>1</v>
      </c>
      <c r="F368">
        <v>0.75</v>
      </c>
      <c r="G368">
        <v>1</v>
      </c>
    </row>
    <row r="369" spans="1:7" x14ac:dyDescent="0.15">
      <c r="A369" t="str">
        <f>HYPERLINK("./new_k5/query_cmdrels_weight_analyze/1_1_1/ul_166558.xlsx","ul_166558")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HYPERLINK("./new_k5/query_cmdrels_weight_analyze/1_1_1/ul_171314.xlsx","ul_171314")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0.35</v>
      </c>
    </row>
    <row r="371" spans="1:7" x14ac:dyDescent="0.15">
      <c r="A371" t="str">
        <f>HYPERLINK("./new_k5/query_cmdrels_weight_analyze/1_1_1/ul_182032.xlsx","ul_182032")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HYPERLINK("./new_k5/query_cmdrels_weight_analyze/1_1_1/ul_19344.xlsx","ul_19344")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HYPERLINK("./new_k5/query_cmdrels_weight_analyze/1_1_1/ul_19369.xlsx","ul_19369")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HYPERLINK("./new_k5/query_cmdrels_weight_analyze/1_1_1/ul_19485.xlsx","ul_19485")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HYPERLINK("./new_k5/query_cmdrels_weight_analyze/1_1_1/ul_20370.xlsx","ul_20370")</f>
        <v>ul_20370</v>
      </c>
      <c r="B375">
        <v>0</v>
      </c>
      <c r="C375">
        <v>0</v>
      </c>
      <c r="D375">
        <v>0</v>
      </c>
      <c r="E375">
        <v>0.16666666666666671</v>
      </c>
      <c r="F375">
        <v>0</v>
      </c>
      <c r="G375">
        <v>0.16666666666666671</v>
      </c>
    </row>
    <row r="376" spans="1:7" x14ac:dyDescent="0.15">
      <c r="A376" t="str">
        <f>HYPERLINK("./new_k5/query_cmdrels_weight_analyze/1_1_1/ul_211817.xlsx","ul_211817")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HYPERLINK("./new_k5/query_cmdrels_weight_analyze/1_1_1/ul_212925.xlsx","ul_212925")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HYPERLINK("./new_k5/query_cmdrels_weight_analyze/1_1_1/ul_21471.xlsx","ul_21471")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HYPERLINK("./new_k5/query_cmdrels_weight_analyze/1_1_1/ul_22545.xlsx","ul_22545")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HYPERLINK("./new_k5/query_cmdrels_weight_analyze/1_1_1/ul_230481.xlsx","ul_230481")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HYPERLINK("./new_k5/query_cmdrels_weight_analyze/1_1_1/ul_230673.xlsx","ul_230673")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0.5</v>
      </c>
    </row>
    <row r="382" spans="1:7" x14ac:dyDescent="0.15">
      <c r="A382" t="str">
        <f>HYPERLINK("./new_k5/query_cmdrels_weight_analyze/1_1_1/ul_230800.xlsx","ul_230800")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HYPERLINK("./new_k5/query_cmdrels_weight_analyze/1_1_1/ul_232384.xlsx","ul_232384")</f>
        <v>ul_232384</v>
      </c>
      <c r="B383">
        <v>0</v>
      </c>
      <c r="C383">
        <v>0.5</v>
      </c>
      <c r="D383">
        <v>0</v>
      </c>
      <c r="E383">
        <v>0.83333333333333326</v>
      </c>
      <c r="F383">
        <v>0</v>
      </c>
      <c r="G383">
        <v>0.83333333333333326</v>
      </c>
    </row>
    <row r="384" spans="1:7" x14ac:dyDescent="0.15">
      <c r="A384" t="str">
        <f>HYPERLINK("./new_k5/query_cmdrels_weight_analyze/1_1_1/ul_24441.xlsx","ul_24441")</f>
        <v>ul_24441</v>
      </c>
      <c r="B384">
        <v>0</v>
      </c>
      <c r="C384">
        <v>0.5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HYPERLINK("./new_k5/query_cmdrels_weight_analyze/1_1_1/ul_246535.xlsx","ul_246535")</f>
        <v>ul_246535</v>
      </c>
      <c r="B385">
        <v>0.2</v>
      </c>
      <c r="C385">
        <v>0.2</v>
      </c>
      <c r="D385">
        <v>0.2</v>
      </c>
      <c r="E385">
        <v>0.2</v>
      </c>
      <c r="F385">
        <v>0.2</v>
      </c>
      <c r="G385">
        <v>0.42</v>
      </c>
    </row>
    <row r="386" spans="1:7" x14ac:dyDescent="0.15">
      <c r="A386" t="str">
        <f>HYPERLINK("./new_k5/query_cmdrels_weight_analyze/1_1_1/ul_259791.xlsx","ul_259791")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HYPERLINK("./new_k5/query_cmdrels_weight_analyze/1_1_1/ul_273971.xlsx","ul_273971")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0.16666666666666671</v>
      </c>
      <c r="F387">
        <v>0.43333333333333329</v>
      </c>
      <c r="G387">
        <v>0.25</v>
      </c>
    </row>
    <row r="388" spans="1:7" x14ac:dyDescent="0.15">
      <c r="A388" t="str">
        <f>HYPERLINK("./new_k5/query_cmdrels_weight_analyze/1_1_1/ul_28553.xlsx","ul_28553")</f>
        <v>ul_28553</v>
      </c>
      <c r="B388">
        <v>0.25</v>
      </c>
      <c r="C388">
        <v>0</v>
      </c>
      <c r="D388">
        <v>0.5</v>
      </c>
      <c r="E388">
        <v>0.125</v>
      </c>
      <c r="F388">
        <v>0.5</v>
      </c>
      <c r="G388">
        <v>0.125</v>
      </c>
    </row>
    <row r="389" spans="1:7" x14ac:dyDescent="0.15">
      <c r="A389" t="str">
        <f>HYPERLINK("./new_k5/query_cmdrels_weight_analyze/1_1_1/ul_288521.xlsx","ul_288521")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HYPERLINK("./new_k5/query_cmdrels_weight_analyze/1_1_1/ul_32290.xlsx","ul_32290")</f>
        <v>ul_32290</v>
      </c>
      <c r="B390">
        <v>0</v>
      </c>
      <c r="C390">
        <v>0</v>
      </c>
      <c r="D390">
        <v>0</v>
      </c>
      <c r="E390">
        <v>0.125</v>
      </c>
      <c r="F390">
        <v>0</v>
      </c>
      <c r="G390">
        <v>0.125</v>
      </c>
    </row>
    <row r="391" spans="1:7" x14ac:dyDescent="0.15">
      <c r="A391" t="str">
        <f>HYPERLINK("./new_k5/query_cmdrels_weight_analyze/1_1_1/ul_328882.xlsx","ul_328882")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HYPERLINK("./new_k5/query_cmdrels_weight_analyze/1_1_1/ul_35131.xlsx","ul_35131")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0.91666666666666663</v>
      </c>
    </row>
    <row r="393" spans="1:7" x14ac:dyDescent="0.15">
      <c r="A393" t="str">
        <f>HYPERLINK("./new_k5/query_cmdrels_weight_analyze/1_1_1/ul_35333.xlsx","ul_35333")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HYPERLINK("./new_k5/query_cmdrels_weight_analyze/1_1_1/ul_35711.xlsx","ul_35711")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HYPERLINK("./new_k5/query_cmdrels_weight_analyze/1_1_1/ul_3575.xlsx","ul_3575")</f>
        <v>ul_3575</v>
      </c>
      <c r="B395">
        <v>0</v>
      </c>
      <c r="C395">
        <v>0</v>
      </c>
      <c r="D395">
        <v>8.3333333333333329E-2</v>
      </c>
      <c r="E395">
        <v>8.3333333333333329E-2</v>
      </c>
      <c r="F395">
        <v>8.3333333333333329E-2</v>
      </c>
      <c r="G395">
        <v>8.3333333333333329E-2</v>
      </c>
    </row>
    <row r="396" spans="1:7" x14ac:dyDescent="0.15">
      <c r="A396" t="str">
        <f>HYPERLINK("./new_k5/query_cmdrels_weight_analyze/1_1_1/ul_35832.xlsx","ul_35832")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HYPERLINK("./new_k5/query_cmdrels_weight_analyze/1_1_1/ul_370318.xlsx","ul_370318")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0.2857142857142857</v>
      </c>
      <c r="F397">
        <v>0.14285714285714279</v>
      </c>
      <c r="G397">
        <v>0.39285714285714279</v>
      </c>
    </row>
    <row r="398" spans="1:7" x14ac:dyDescent="0.15">
      <c r="A398" t="str">
        <f>HYPERLINK("./new_k5/query_cmdrels_weight_analyze/1_1_1/ul_37329.xlsx","ul_37329")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0.66666666666666663</v>
      </c>
      <c r="F398">
        <v>0.33333333333333331</v>
      </c>
      <c r="G398">
        <v>0.66666666666666663</v>
      </c>
    </row>
    <row r="399" spans="1:7" x14ac:dyDescent="0.15">
      <c r="A399" t="str">
        <f>HYPERLINK("./new_k5/query_cmdrels_weight_analyze/1_1_1/ul_38209.xlsx","ul_38209")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HYPERLINK("./new_k5/query_cmdrels_weight_analyze/1_1_1/ul_41246.xlsx","ul_41246")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HYPERLINK("./new_k5/query_cmdrels_weight_analyze/1_1_1/ul_41362.xlsx","ul_41362")</f>
        <v>ul_41362</v>
      </c>
      <c r="B401">
        <v>0</v>
      </c>
      <c r="C401">
        <v>0</v>
      </c>
      <c r="D401">
        <v>0</v>
      </c>
      <c r="E401">
        <v>8.3333333333333329E-2</v>
      </c>
      <c r="F401">
        <v>0</v>
      </c>
      <c r="G401">
        <v>8.3333333333333329E-2</v>
      </c>
    </row>
    <row r="402" spans="1:7" x14ac:dyDescent="0.15">
      <c r="A402" t="str">
        <f>HYPERLINK("./new_k5/query_cmdrels_weight_analyze/1_1_1/ul_48200.xlsx","ul_48200")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HYPERLINK("./new_k5/query_cmdrels_weight_analyze/1_1_1/ul_50098.xlsx","ul_50098")</f>
        <v>ul_50098</v>
      </c>
      <c r="B403">
        <v>0</v>
      </c>
      <c r="C403">
        <v>0.1</v>
      </c>
      <c r="D403">
        <v>0.1166666666666667</v>
      </c>
      <c r="E403">
        <v>0.16666666666666671</v>
      </c>
      <c r="F403">
        <v>0.1166666666666667</v>
      </c>
      <c r="G403">
        <v>0.24166666666666661</v>
      </c>
    </row>
    <row r="404" spans="1:7" x14ac:dyDescent="0.15">
      <c r="A404" t="str">
        <f>HYPERLINK("./new_k5/query_cmdrels_weight_analyze/1_1_1/ul_50785.xlsx","ul_50785")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HYPERLINK("./new_k5/query_cmdrels_weight_analyze/1_1_1/ul_5085.xlsx","ul_5085")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HYPERLINK("./new_k5/query_cmdrels_weight_analyze/1_1_1/ul_53737.xlsx","ul_53737")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HYPERLINK("./new_k5/query_cmdrels_weight_analyze/1_1_1/ul_55125.xlsx","ul_55125")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HYPERLINK("./new_k5/query_cmdrels_weight_analyze/1_1_1/ul_56453.xlsx","ul_56453")</f>
        <v>ul_56453</v>
      </c>
      <c r="B408">
        <v>0</v>
      </c>
      <c r="C408">
        <v>0.25</v>
      </c>
      <c r="D408">
        <v>8.3333333333333329E-2</v>
      </c>
      <c r="E408">
        <v>0.5</v>
      </c>
      <c r="F408">
        <v>8.3333333333333329E-2</v>
      </c>
      <c r="G408">
        <v>0.5</v>
      </c>
    </row>
    <row r="409" spans="1:7" x14ac:dyDescent="0.15">
      <c r="A409" t="str">
        <f>HYPERLINK("./new_k5/query_cmdrels_weight_analyze/1_1_1/ul_63648.xlsx","ul_63648")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HYPERLINK("./new_k5/query_cmdrels_weight_analyze/1_1_1/ul_6402.xlsx","ul_6402")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0.33333333333333331</v>
      </c>
    </row>
    <row r="411" spans="1:7" x14ac:dyDescent="0.15">
      <c r="A411" t="str">
        <f>HYPERLINK("./new_k5/query_cmdrels_weight_analyze/1_1_1/ul_65106.xlsx","ul_65106")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0.66666666666666663</v>
      </c>
    </row>
    <row r="412" spans="1:7" x14ac:dyDescent="0.15">
      <c r="A412" t="str">
        <f>HYPERLINK("./new_k5/query_cmdrels_weight_analyze/1_1_1/ul_65932.xlsx","ul_65932")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HYPERLINK("./new_k5/query_cmdrels_weight_analyze/1_1_1/ul_6596.xlsx","ul_6596")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HYPERLINK("./new_k5/query_cmdrels_weight_analyze/1_1_1/ul_67503.xlsx","ul_67503")</f>
        <v>ul_67503</v>
      </c>
      <c r="B414">
        <v>0</v>
      </c>
      <c r="C414">
        <v>0.5</v>
      </c>
      <c r="D414">
        <v>0.25</v>
      </c>
      <c r="E414">
        <v>0.83333333333333326</v>
      </c>
      <c r="F414">
        <v>0.5</v>
      </c>
      <c r="G414">
        <v>0.83333333333333326</v>
      </c>
    </row>
    <row r="415" spans="1:7" x14ac:dyDescent="0.15">
      <c r="A415" t="str">
        <f>HYPERLINK("./new_k5/query_cmdrels_weight_analyze/1_1_1/ul_67592.xlsx","ul_67592")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HYPERLINK("./new_k5/query_cmdrels_weight_analyze/1_1_1/ul_70581.xlsx","ul_70581")</f>
        <v>ul_70581</v>
      </c>
      <c r="B416">
        <v>0</v>
      </c>
      <c r="C416">
        <v>0</v>
      </c>
      <c r="D416">
        <v>0.1</v>
      </c>
      <c r="E416">
        <v>0.23333333333333331</v>
      </c>
      <c r="F416">
        <v>0.1</v>
      </c>
      <c r="G416">
        <v>0.3833333333333333</v>
      </c>
    </row>
    <row r="417" spans="1:7" x14ac:dyDescent="0.15">
      <c r="A417" t="str">
        <f>HYPERLINK("./new_k5/query_cmdrels_weight_analyze/1_1_1/ul_70614.xlsx","ul_70614")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HYPERLINK("./new_k5/query_cmdrels_weight_analyze/1_1_1/ul_71465.xlsx","ul_71465")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HYPERLINK("./new_k5/query_cmdrels_weight_analyze/1_1_1/ul_7226.xlsx","ul_7226")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0.55555555555555547</v>
      </c>
      <c r="F419">
        <v>0.33333333333333331</v>
      </c>
      <c r="G419">
        <v>0.55555555555555547</v>
      </c>
    </row>
    <row r="420" spans="1:7" x14ac:dyDescent="0.15">
      <c r="A420" t="str">
        <f>HYPERLINK("./new_k5/query_cmdrels_weight_analyze/1_1_1/ul_78182.xlsx","ul_78182")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0.125</v>
      </c>
    </row>
    <row r="421" spans="1:7" x14ac:dyDescent="0.15">
      <c r="A421" t="str">
        <f>HYPERLINK("./new_k5/query_cmdrels_weight_analyze/1_1_1/ul_79678.xlsx","ul_79678")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HYPERLINK("./new_k5/query_cmdrels_weight_analyze/1_1_1/ul_79702.xlsx","ul_79702")</f>
        <v>ul_79702</v>
      </c>
      <c r="B422">
        <v>0</v>
      </c>
      <c r="C422">
        <v>0.33333333333333331</v>
      </c>
      <c r="D422">
        <v>0</v>
      </c>
      <c r="E422">
        <v>0.66666666666666663</v>
      </c>
      <c r="F422">
        <v>0</v>
      </c>
      <c r="G422">
        <v>0.8666666666666667</v>
      </c>
    </row>
    <row r="423" spans="1:7" x14ac:dyDescent="0.15">
      <c r="A423" t="str">
        <f>HYPERLINK("./new_k5/query_cmdrels_weight_analyze/1_1_1/ul_83593.xlsx","ul_83593")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HYPERLINK("./new_k5/query_cmdrels_weight_analyze/1_1_1/ul_84381.xlsx","ul_84381")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HYPERLINK("./new_k5/query_cmdrels_weight_analyze/1_1_1/ul_85180.xlsx","ul_85180")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0.27777777777777768</v>
      </c>
    </row>
    <row r="426" spans="1:7" x14ac:dyDescent="0.15">
      <c r="A426" t="str">
        <f>HYPERLINK("./new_k5/query_cmdrels_weight_analyze/1_1_1/ul_86071.xlsx","ul_86071")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HYPERLINK("./new_k5/query_cmdrels_weight_analyze/1_1_1/ul_86729.xlsx","ul_86729")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HYPERLINK("./new_k5/query_cmdrels_weight_analyze/1_1_1/ul_88824.xlsx","ul_88824")</f>
        <v>ul_88824</v>
      </c>
      <c r="B428">
        <v>0</v>
      </c>
      <c r="C428">
        <v>0.33333333333333331</v>
      </c>
      <c r="D428">
        <v>0</v>
      </c>
      <c r="E428">
        <v>0.55555555555555547</v>
      </c>
      <c r="F428">
        <v>0</v>
      </c>
      <c r="G428">
        <v>0.55555555555555547</v>
      </c>
    </row>
    <row r="429" spans="1:7" x14ac:dyDescent="0.15">
      <c r="A429" t="str">
        <f>HYPERLINK("./new_k5/query_cmdrels_weight_analyze/1_1_1/ul_8945.xlsx","ul_8945")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HYPERLINK("./new_k5/query_cmdrels_weight_analyze/1_1_1/ul_89933.xlsx","ul_89933")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HYPERLINK("./new_k5/query_cmdrels_weight_analyze/1_1_1/ul_91297.xlsx","ul_91297")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HYPERLINK("./new_k5/query_cmdrels_weight_analyze/1_1_1/ul_9252.xlsx","ul_9252")</f>
        <v>ul_9252</v>
      </c>
      <c r="B432">
        <v>0</v>
      </c>
      <c r="C432">
        <v>0</v>
      </c>
      <c r="D432">
        <v>0.23333333333333331</v>
      </c>
      <c r="E432">
        <v>0.1</v>
      </c>
      <c r="F432">
        <v>0.23333333333333331</v>
      </c>
      <c r="G432">
        <v>0.1</v>
      </c>
    </row>
    <row r="433" spans="1:7" x14ac:dyDescent="0.15">
      <c r="A433" t="str">
        <f>HYPERLINK("./new_k5/query_cmdrels_weight_analyze/1_1_1/ul_92560.xlsx","ul_92560")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0.7</v>
      </c>
    </row>
    <row r="434" spans="1:7" x14ac:dyDescent="0.15">
      <c r="A434" t="str">
        <f>HYPERLINK("./new_k5/query_cmdrels_weight_analyze/1_1_1/ul_92799.xlsx","ul_92799")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0.27777777777777768</v>
      </c>
      <c r="F434">
        <v>0.53611111111111109</v>
      </c>
      <c r="G434">
        <v>0.53611111111111109</v>
      </c>
    </row>
    <row r="435" spans="1:7" x14ac:dyDescent="0.15">
      <c r="A435" t="str">
        <f>HYPERLINK("./new_k5/query_cmdrels_weight_analyze/1_1_1/ul_93139.xlsx","ul_93139")</f>
        <v>ul_93139</v>
      </c>
      <c r="B435">
        <v>0</v>
      </c>
      <c r="C435">
        <v>0.5</v>
      </c>
      <c r="D435">
        <v>0.25</v>
      </c>
      <c r="E435">
        <v>0.5</v>
      </c>
      <c r="F435">
        <v>0.25</v>
      </c>
      <c r="G435">
        <v>0.5</v>
      </c>
    </row>
    <row r="436" spans="1:7" x14ac:dyDescent="0.15">
      <c r="A436" t="str">
        <f>HYPERLINK("./new_k5/query_cmdrels_weight_analyze/1_1_1/ul_98461.xlsx","ul_98461")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HYPERLINK("./new_k5/query_cmdrels_weight_analyze/0.2_0.1_0.7/au_102733.xlsx","au_102733")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HYPERLINK("./new_k5/query_cmdrels_weight_analyze/0.2_0.1_0.7/au_1029436.xlsx","au_1029436")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HYPERLINK("./new_k5/query_cmdrels_weight_analyze/0.2_0.1_0.7/au_1029502.xlsx","au_1029502")</f>
        <v>au_1029502</v>
      </c>
      <c r="B5">
        <v>0.25</v>
      </c>
      <c r="C5">
        <v>0.25</v>
      </c>
      <c r="D5">
        <v>0.25</v>
      </c>
      <c r="E5">
        <v>0.5</v>
      </c>
      <c r="F5">
        <v>0.375</v>
      </c>
      <c r="G5">
        <v>0.5</v>
      </c>
    </row>
    <row r="6" spans="1:7" x14ac:dyDescent="0.15">
      <c r="A6" t="str">
        <f>HYPERLINK("./new_k5/query_cmdrels_weight_analyze/0.2_0.1_0.7/au_1029531.xlsx","au_1029531")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HYPERLINK("./new_k5/query_cmdrels_weight_analyze/0.2_0.1_0.7/au_104542.xlsx","au_104542")</f>
        <v>au_104542</v>
      </c>
      <c r="B7">
        <v>0.125</v>
      </c>
      <c r="C7">
        <v>0.125</v>
      </c>
      <c r="D7">
        <v>0.25</v>
      </c>
      <c r="E7">
        <v>0.25</v>
      </c>
      <c r="F7">
        <v>0.25</v>
      </c>
      <c r="G7">
        <v>0.25</v>
      </c>
    </row>
    <row r="8" spans="1:7" x14ac:dyDescent="0.15">
      <c r="A8" t="str">
        <f>HYPERLINK("./new_k5/query_cmdrels_weight_analyze/0.2_0.1_0.7/au_109070.xlsx","au_109070")</f>
        <v>au_109070</v>
      </c>
      <c r="B8">
        <v>0</v>
      </c>
      <c r="C8">
        <v>0</v>
      </c>
      <c r="D8">
        <v>0.23333333333333331</v>
      </c>
      <c r="E8">
        <v>0.23333333333333331</v>
      </c>
      <c r="F8">
        <v>0.3833333333333333</v>
      </c>
      <c r="G8">
        <v>0.23333333333333331</v>
      </c>
    </row>
    <row r="9" spans="1:7" x14ac:dyDescent="0.15">
      <c r="A9" t="str">
        <f>HYPERLINK("./new_k5/query_cmdrels_weight_analyze/0.2_0.1_0.7/au_109381.xlsx","au_109381")</f>
        <v>au_109381</v>
      </c>
      <c r="B9">
        <v>0</v>
      </c>
      <c r="C9">
        <v>0</v>
      </c>
      <c r="D9">
        <v>0.25</v>
      </c>
      <c r="E9">
        <v>0.25</v>
      </c>
      <c r="F9">
        <v>0.25</v>
      </c>
      <c r="G9">
        <v>0.25</v>
      </c>
    </row>
    <row r="10" spans="1:7" x14ac:dyDescent="0.15">
      <c r="A10" t="str">
        <f>HYPERLINK("./new_k5/query_cmdrels_weight_analyze/0.2_0.1_0.7/au_110477.xlsx","au_110477")</f>
        <v>au_110477</v>
      </c>
      <c r="B10">
        <v>0.25</v>
      </c>
      <c r="C10">
        <v>0.25</v>
      </c>
      <c r="D10">
        <v>0.5</v>
      </c>
      <c r="E10">
        <v>0.5</v>
      </c>
      <c r="F10">
        <v>0.5</v>
      </c>
      <c r="G10">
        <v>0.5</v>
      </c>
    </row>
    <row r="11" spans="1:7" x14ac:dyDescent="0.15">
      <c r="A11" t="str">
        <f>HYPERLINK("./new_k5/query_cmdrels_weight_analyze/0.2_0.1_0.7/au_111678.xlsx","au_111678")</f>
        <v>au_111678</v>
      </c>
      <c r="B11">
        <v>0</v>
      </c>
      <c r="C11">
        <v>0</v>
      </c>
      <c r="D11">
        <v>0.1111111111111111</v>
      </c>
      <c r="E11">
        <v>0.16666666666666671</v>
      </c>
      <c r="F11">
        <v>0.1111111111111111</v>
      </c>
      <c r="G11">
        <v>0.16666666666666671</v>
      </c>
    </row>
    <row r="12" spans="1:7" x14ac:dyDescent="0.15">
      <c r="A12" t="str">
        <f>HYPERLINK("./new_k5/query_cmdrels_weight_analyze/0.2_0.1_0.7/au_112512.xlsx","au_112512")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HYPERLINK("./new_k5/query_cmdrels_weight_analyze/0.2_0.1_0.7/au_115369.xlsx","au_115369")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HYPERLINK("./new_k5/query_cmdrels_weight_analyze/0.2_0.1_0.7/au_11789.xlsx","au_11789")</f>
        <v>au_11789</v>
      </c>
      <c r="B14">
        <v>0</v>
      </c>
      <c r="C14">
        <v>0</v>
      </c>
      <c r="D14">
        <v>0</v>
      </c>
      <c r="E14">
        <v>0.25</v>
      </c>
      <c r="F14">
        <v>0</v>
      </c>
      <c r="G14">
        <v>0.25</v>
      </c>
    </row>
    <row r="15" spans="1:7" x14ac:dyDescent="0.15">
      <c r="A15" t="str">
        <f>HYPERLINK("./new_k5/query_cmdrels_weight_analyze/0.2_0.1_0.7/au_117950.xlsx","au_117950")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</v>
      </c>
    </row>
    <row r="16" spans="1:7" x14ac:dyDescent="0.15">
      <c r="A16" t="str">
        <f>HYPERLINK("./new_k5/query_cmdrels_weight_analyze/0.2_0.1_0.7/au_122113.xlsx","au_122113")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HYPERLINK("./new_k5/query_cmdrels_weight_analyze/0.2_0.1_0.7/au_123798.xlsx","au_123798")</f>
        <v>au_123798</v>
      </c>
      <c r="B17">
        <v>0</v>
      </c>
      <c r="C17">
        <v>0</v>
      </c>
      <c r="D17">
        <v>5.5555555555555552E-2</v>
      </c>
      <c r="E17">
        <v>5.5555555555555552E-2</v>
      </c>
      <c r="F17">
        <v>0.23888888888888879</v>
      </c>
      <c r="G17">
        <v>0.23888888888888879</v>
      </c>
    </row>
    <row r="18" spans="1:7" x14ac:dyDescent="0.15">
      <c r="A18" t="str">
        <f>HYPERLINK("./new_k5/query_cmdrels_weight_analyze/0.2_0.1_0.7/au_125257.xlsx","au_125257")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HYPERLINK("./new_k5/query_cmdrels_weight_analyze/0.2_0.1_0.7/au_126153.xlsx","au_126153")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0.5</v>
      </c>
      <c r="F19">
        <v>0.45833333333333331</v>
      </c>
      <c r="G19">
        <v>0.83333333333333337</v>
      </c>
    </row>
    <row r="20" spans="1:7" x14ac:dyDescent="0.15">
      <c r="A20" t="str">
        <f>HYPERLINK("./new_k5/query_cmdrels_weight_analyze/0.2_0.1_0.7/au_127326.xlsx","au_127326")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HYPERLINK("./new_k5/query_cmdrels_weight_analyze/0.2_0.1_0.7/au_128463.xlsx","au_128463")</f>
        <v>au_128463</v>
      </c>
      <c r="B21">
        <v>0.33333333333333331</v>
      </c>
      <c r="C21">
        <v>0.33333333333333331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HYPERLINK("./new_k5/query_cmdrels_weight_analyze/0.2_0.1_0.7/au_130393.xlsx","au_130393")</f>
        <v>au_130393</v>
      </c>
      <c r="B22">
        <v>0</v>
      </c>
      <c r="C22">
        <v>0.25</v>
      </c>
      <c r="D22">
        <v>0.125</v>
      </c>
      <c r="E22">
        <v>0.25</v>
      </c>
      <c r="F22">
        <v>0.125</v>
      </c>
      <c r="G22">
        <v>0.375</v>
      </c>
    </row>
    <row r="23" spans="1:7" x14ac:dyDescent="0.15">
      <c r="A23" t="str">
        <f>HYPERLINK("./new_k5/query_cmdrels_weight_analyze/0.2_0.1_0.7/au_131570.xlsx","au_131570")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HYPERLINK("./new_k5/query_cmdrels_weight_analyze/0.2_0.1_0.7/au_133318.xlsx","au_133318")</f>
        <v>au_133318</v>
      </c>
      <c r="B24">
        <v>0</v>
      </c>
      <c r="C24">
        <v>0.25</v>
      </c>
      <c r="D24">
        <v>0</v>
      </c>
      <c r="E24">
        <v>0.25</v>
      </c>
      <c r="F24">
        <v>0</v>
      </c>
      <c r="G24">
        <v>0.25</v>
      </c>
    </row>
    <row r="25" spans="1:7" x14ac:dyDescent="0.15">
      <c r="A25" t="str">
        <f>HYPERLINK("./new_k5/query_cmdrels_weight_analyze/0.2_0.1_0.7/au_133343.xlsx","au_133343")</f>
        <v>au_133343</v>
      </c>
      <c r="B25">
        <v>0</v>
      </c>
      <c r="C25">
        <v>0</v>
      </c>
      <c r="D25">
        <v>0</v>
      </c>
      <c r="E25">
        <v>0</v>
      </c>
      <c r="F25">
        <v>0</v>
      </c>
      <c r="G25">
        <v>0.2166666666666667</v>
      </c>
    </row>
    <row r="26" spans="1:7" x14ac:dyDescent="0.15">
      <c r="A26" t="str">
        <f>HYPERLINK("./new_k5/query_cmdrels_weight_analyze/0.2_0.1_0.7/au_133389.xlsx","au_133389")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HYPERLINK("./new_k5/query_cmdrels_weight_analyze/0.2_0.1_0.7/au_141277.xlsx","au_141277")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HYPERLINK("./new_k5/query_cmdrels_weight_analyze/0.2_0.1_0.7/au_143819.xlsx","au_143819")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HYPERLINK("./new_k5/query_cmdrels_weight_analyze/0.2_0.1_0.7/au_145935.xlsx","au_145935")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HYPERLINK("./new_k5/query_cmdrels_weight_analyze/0.2_0.1_0.7/au_147241.xlsx","au_147241")</f>
        <v>au_147241</v>
      </c>
      <c r="B30">
        <v>0</v>
      </c>
      <c r="C30">
        <v>0</v>
      </c>
      <c r="D30">
        <v>0.29166666666666657</v>
      </c>
      <c r="E30">
        <v>0.29166666666666657</v>
      </c>
      <c r="F30">
        <v>0.29166666666666657</v>
      </c>
      <c r="G30">
        <v>0.47916666666666657</v>
      </c>
    </row>
    <row r="31" spans="1:7" x14ac:dyDescent="0.15">
      <c r="A31" t="str">
        <f>HYPERLINK("./new_k5/query_cmdrels_weight_analyze/0.2_0.1_0.7/au_147800.xlsx","au_147800")</f>
        <v>au_147800</v>
      </c>
      <c r="B31">
        <v>0</v>
      </c>
      <c r="C31">
        <v>0</v>
      </c>
      <c r="D31">
        <v>0.1111111111111111</v>
      </c>
      <c r="E31">
        <v>0.1111111111111111</v>
      </c>
      <c r="F31">
        <v>0.1111111111111111</v>
      </c>
      <c r="G31">
        <v>0.1111111111111111</v>
      </c>
    </row>
    <row r="32" spans="1:7" x14ac:dyDescent="0.15">
      <c r="A32" t="str">
        <f>HYPERLINK("./new_k5/query_cmdrels_weight_analyze/0.2_0.1_0.7/au_148321.xlsx","au_148321")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0.33333333333333331</v>
      </c>
      <c r="F32">
        <v>0.16666666666666671</v>
      </c>
      <c r="G32">
        <v>0.45833333333333331</v>
      </c>
    </row>
    <row r="33" spans="1:7" x14ac:dyDescent="0.15">
      <c r="A33" t="str">
        <f>HYPERLINK("./new_k5/query_cmdrels_weight_analyze/0.2_0.1_0.7/au_148638.xlsx","au_148638")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HYPERLINK("./new_k5/query_cmdrels_weight_analyze/0.2_0.1_0.7/au_151049.xlsx","au_151049")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HYPERLINK("./new_k5/query_cmdrels_weight_analyze/0.2_0.1_0.7/au_151941.xlsx","au_151941")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HYPERLINK("./new_k5/query_cmdrels_weight_analyze/0.2_0.1_0.7/au_152297.xlsx","au_152297")</f>
        <v>au_152297</v>
      </c>
      <c r="B36">
        <v>0</v>
      </c>
      <c r="C36">
        <v>0</v>
      </c>
      <c r="D36">
        <v>7.1428571428571425E-2</v>
      </c>
      <c r="E36">
        <v>0.16666666666666671</v>
      </c>
      <c r="F36">
        <v>7.1428571428571425E-2</v>
      </c>
      <c r="G36">
        <v>0.27380952380952378</v>
      </c>
    </row>
    <row r="37" spans="1:7" x14ac:dyDescent="0.15">
      <c r="A37" t="str">
        <f>HYPERLINK("./new_k5/query_cmdrels_weight_analyze/0.2_0.1_0.7/au_153976.xlsx","au_153976")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0.16666666666666671</v>
      </c>
      <c r="F37">
        <v>0.33333333333333331</v>
      </c>
      <c r="G37">
        <v>0.25</v>
      </c>
    </row>
    <row r="38" spans="1:7" x14ac:dyDescent="0.15">
      <c r="A38" t="str">
        <f>HYPERLINK("./new_k5/query_cmdrels_weight_analyze/0.2_0.1_0.7/au_154431.xlsx","au_154431")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HYPERLINK("./new_k5/query_cmdrels_weight_analyze/0.2_0.1_0.7/au_159708.xlsx","au_159708")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0.33333333333333331</v>
      </c>
      <c r="F39">
        <v>0.33333333333333331</v>
      </c>
      <c r="G39">
        <v>0.33333333333333331</v>
      </c>
    </row>
    <row r="40" spans="1:7" x14ac:dyDescent="0.15">
      <c r="A40" t="str">
        <f>HYPERLINK("./new_k5/query_cmdrels_weight_analyze/0.2_0.1_0.7/au_160869.xlsx","au_160869")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HYPERLINK("./new_k5/query_cmdrels_weight_analyze/0.2_0.1_0.7/au_161313.xlsx","au_161313")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</v>
      </c>
    </row>
    <row r="42" spans="1:7" x14ac:dyDescent="0.15">
      <c r="A42" t="str">
        <f>HYPERLINK("./new_k5/query_cmdrels_weight_analyze/0.2_0.1_0.7/au_162075.xlsx","au_162075")</f>
        <v>au_162075</v>
      </c>
      <c r="B42">
        <v>0.25</v>
      </c>
      <c r="C42">
        <v>0.25</v>
      </c>
      <c r="D42">
        <v>0.5</v>
      </c>
      <c r="E42">
        <v>0.5</v>
      </c>
      <c r="F42">
        <v>0.5</v>
      </c>
      <c r="G42">
        <v>0.5</v>
      </c>
    </row>
    <row r="43" spans="1:7" x14ac:dyDescent="0.15">
      <c r="A43" t="str">
        <f>HYPERLINK("./new_k5/query_cmdrels_weight_analyze/0.2_0.1_0.7/au_16277.xlsx","au_16277")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0.66666666666666663</v>
      </c>
    </row>
    <row r="44" spans="1:7" x14ac:dyDescent="0.15">
      <c r="A44" t="str">
        <f>HYPERLINK("./new_k5/query_cmdrels_weight_analyze/0.2_0.1_0.7/au_163155.xlsx","au_163155")</f>
        <v>au_163155</v>
      </c>
      <c r="B44">
        <v>0.125</v>
      </c>
      <c r="C44">
        <v>0.125</v>
      </c>
      <c r="D44">
        <v>0.375</v>
      </c>
      <c r="E44">
        <v>0.20833333333333329</v>
      </c>
      <c r="F44">
        <v>0.5</v>
      </c>
      <c r="G44">
        <v>0.30208333333333331</v>
      </c>
    </row>
    <row r="45" spans="1:7" x14ac:dyDescent="0.15">
      <c r="A45" t="str">
        <f>HYPERLINK("./new_k5/query_cmdrels_weight_analyze/0.2_0.1_0.7/au_164473.xlsx","au_164473")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0.04</v>
      </c>
    </row>
    <row r="46" spans="1:7" x14ac:dyDescent="0.15">
      <c r="A46" t="str">
        <f>HYPERLINK("./new_k5/query_cmdrels_weight_analyze/0.2_0.1_0.7/au_16584.xlsx","au_16584")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0.15151515151515149</v>
      </c>
      <c r="F46">
        <v>0.13636363636363641</v>
      </c>
      <c r="G46">
        <v>0.29242424242424242</v>
      </c>
    </row>
    <row r="47" spans="1:7" x14ac:dyDescent="0.15">
      <c r="A47" t="str">
        <f>HYPERLINK("./new_k5/query_cmdrels_weight_analyze/0.2_0.1_0.7/au_166420.xlsx","au_166420")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HYPERLINK("./new_k5/query_cmdrels_weight_analyze/0.2_0.1_0.7/au_169473.xlsx","au_169473")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0.16666666666666671</v>
      </c>
      <c r="F48">
        <v>0.43333333333333329</v>
      </c>
      <c r="G48">
        <v>0.35</v>
      </c>
    </row>
    <row r="49" spans="1:7" x14ac:dyDescent="0.15">
      <c r="A49" t="str">
        <f>HYPERLINK("./new_k5/query_cmdrels_weight_analyze/0.2_0.1_0.7/au_169516.xlsx","au_169516")</f>
        <v>au_169516</v>
      </c>
      <c r="B49">
        <v>0.25</v>
      </c>
      <c r="C49">
        <v>0</v>
      </c>
      <c r="D49">
        <v>0.25</v>
      </c>
      <c r="E49">
        <v>0.125</v>
      </c>
      <c r="F49">
        <v>0.25</v>
      </c>
      <c r="G49">
        <v>0.25</v>
      </c>
    </row>
    <row r="50" spans="1:7" x14ac:dyDescent="0.15">
      <c r="A50" t="str">
        <f>HYPERLINK("./new_k5/query_cmdrels_weight_analyze/0.2_0.1_0.7/au_174292.xlsx","au_174292")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0.25</v>
      </c>
    </row>
    <row r="51" spans="1:7" x14ac:dyDescent="0.15">
      <c r="A51" t="str">
        <f>HYPERLINK("./new_k5/query_cmdrels_weight_analyze/0.2_0.1_0.7/au_178481.xlsx","au_178481")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0.8666666666666667</v>
      </c>
    </row>
    <row r="52" spans="1:7" x14ac:dyDescent="0.15">
      <c r="A52" t="str">
        <f>HYPERLINK("./new_k5/query_cmdrels_weight_analyze/0.2_0.1_0.7/au_180925.xlsx","au_180925")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HYPERLINK("./new_k5/query_cmdrels_weight_analyze/0.2_0.1_0.7/au_187888.xlsx","au_187888")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HYPERLINK("./new_k5/query_cmdrels_weight_analyze/0.2_0.1_0.7/au_191390.xlsx","au_191390")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HYPERLINK("./new_k5/query_cmdrels_weight_analyze/0.2_0.1_0.7/au_192798.xlsx","au_192798")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HYPERLINK("./new_k5/query_cmdrels_weight_analyze/0.2_0.1_0.7/au_201775.xlsx","au_201775")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0.66666666666666663</v>
      </c>
      <c r="F56">
        <v>0.66666666666666663</v>
      </c>
      <c r="G56">
        <v>0.91666666666666663</v>
      </c>
    </row>
    <row r="57" spans="1:7" x14ac:dyDescent="0.15">
      <c r="A57" t="str">
        <f>HYPERLINK("./new_k5/query_cmdrels_weight_analyze/0.2_0.1_0.7/au_204166.xlsx","au_204166")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0.8</v>
      </c>
    </row>
    <row r="58" spans="1:7" x14ac:dyDescent="0.15">
      <c r="A58" t="str">
        <f>HYPERLINK("./new_k5/query_cmdrels_weight_analyze/0.2_0.1_0.7/au_207447.xlsx","au_207447")</f>
        <v>au_207447</v>
      </c>
      <c r="B58">
        <v>0.33333333333333331</v>
      </c>
      <c r="C58">
        <v>0.33333333333333331</v>
      </c>
      <c r="D58">
        <v>0.33333333333333331</v>
      </c>
      <c r="E58">
        <v>0.33333333333333331</v>
      </c>
      <c r="F58">
        <v>0.33333333333333331</v>
      </c>
      <c r="G58">
        <v>0.33333333333333331</v>
      </c>
    </row>
    <row r="59" spans="1:7" x14ac:dyDescent="0.15">
      <c r="A59" t="str">
        <f>HYPERLINK("./new_k5/query_cmdrels_weight_analyze/0.2_0.1_0.7/au_210680.xlsx","au_210680")</f>
        <v>au_210680</v>
      </c>
      <c r="B59">
        <v>0.2</v>
      </c>
      <c r="C59">
        <v>0.2</v>
      </c>
      <c r="D59">
        <v>0.6</v>
      </c>
      <c r="E59">
        <v>0.4</v>
      </c>
      <c r="F59">
        <v>0.6</v>
      </c>
      <c r="G59">
        <v>0.52</v>
      </c>
    </row>
    <row r="60" spans="1:7" x14ac:dyDescent="0.15">
      <c r="A60" t="str">
        <f>HYPERLINK("./new_k5/query_cmdrels_weight_analyze/0.2_0.1_0.7/au_214246.xlsx","au_214246")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HYPERLINK("./new_k5/query_cmdrels_weight_analyze/0.2_0.1_0.7/au_214643.xlsx","au_214643")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HYPERLINK("./new_k5/query_cmdrels_weight_analyze/0.2_0.1_0.7/au_2194.xlsx","au_2194")</f>
        <v>au_2194</v>
      </c>
      <c r="B62">
        <v>0</v>
      </c>
      <c r="C62">
        <v>0.14285714285714279</v>
      </c>
      <c r="D62">
        <v>4.7619047619047623E-2</v>
      </c>
      <c r="E62">
        <v>0.23809523809523811</v>
      </c>
      <c r="F62">
        <v>0.119047619047619</v>
      </c>
      <c r="G62">
        <v>0.23809523809523811</v>
      </c>
    </row>
    <row r="63" spans="1:7" x14ac:dyDescent="0.15">
      <c r="A63" t="str">
        <f>HYPERLINK("./new_k5/query_cmdrels_weight_analyze/0.2_0.1_0.7/au_221962.xlsx","au_221962")</f>
        <v>au_221962</v>
      </c>
      <c r="B63">
        <v>0</v>
      </c>
      <c r="C63">
        <v>0</v>
      </c>
      <c r="D63">
        <v>5.5555555555555552E-2</v>
      </c>
      <c r="E63">
        <v>5.5555555555555552E-2</v>
      </c>
      <c r="F63">
        <v>0.1388888888888889</v>
      </c>
      <c r="G63">
        <v>0.1388888888888889</v>
      </c>
    </row>
    <row r="64" spans="1:7" x14ac:dyDescent="0.15">
      <c r="A64" t="str">
        <f>HYPERLINK("./new_k5/query_cmdrels_weight_analyze/0.2_0.1_0.7/au_22608.xlsx","au_22608")</f>
        <v>au_22608</v>
      </c>
      <c r="B64">
        <v>0.33333333333333331</v>
      </c>
      <c r="C64">
        <v>0</v>
      </c>
      <c r="D64">
        <v>0.33333333333333331</v>
      </c>
      <c r="E64">
        <v>0.16666666666666671</v>
      </c>
      <c r="F64">
        <v>0.33333333333333331</v>
      </c>
      <c r="G64">
        <v>0.33333333333333331</v>
      </c>
    </row>
    <row r="65" spans="1:7" x14ac:dyDescent="0.15">
      <c r="A65" t="str">
        <f>HYPERLINK("./new_k5/query_cmdrels_weight_analyze/0.2_0.1_0.7/au_230698.xlsx","au_230698")</f>
        <v>au_230698</v>
      </c>
      <c r="B65">
        <v>0.125</v>
      </c>
      <c r="C65">
        <v>0.125</v>
      </c>
      <c r="D65">
        <v>0.25</v>
      </c>
      <c r="E65">
        <v>0.20833333333333329</v>
      </c>
      <c r="F65">
        <v>0.32500000000000001</v>
      </c>
      <c r="G65">
        <v>0.28333333333333333</v>
      </c>
    </row>
    <row r="66" spans="1:7" x14ac:dyDescent="0.15">
      <c r="A66" t="str">
        <f>HYPERLINK("./new_k5/query_cmdrels_weight_analyze/0.2_0.1_0.7/au_232442.xlsx","au_232442")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HYPERLINK("./new_k5/query_cmdrels_weight_analyze/0.2_0.1_0.7/au_233378.xlsx","au_233378")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HYPERLINK("./new_k5/query_cmdrels_weight_analyze/0.2_0.1_0.7/au_24027.xlsx","au_24027")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0.33333333333333331</v>
      </c>
    </row>
    <row r="69" spans="1:7" x14ac:dyDescent="0.15">
      <c r="A69" t="str">
        <f>HYPERLINK("./new_k5/query_cmdrels_weight_analyze/0.2_0.1_0.7/au_246647.xlsx","au_246647")</f>
        <v>au_246647</v>
      </c>
      <c r="B69">
        <v>0.125</v>
      </c>
      <c r="C69">
        <v>0.125</v>
      </c>
      <c r="D69">
        <v>0.375</v>
      </c>
      <c r="E69">
        <v>0.375</v>
      </c>
      <c r="F69">
        <v>0.47499999999999998</v>
      </c>
      <c r="G69">
        <v>0.375</v>
      </c>
    </row>
    <row r="70" spans="1:7" x14ac:dyDescent="0.15">
      <c r="A70" t="str">
        <f>HYPERLINK("./new_k5/query_cmdrels_weight_analyze/0.2_0.1_0.7/au_254424.xlsx","au_254424")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HYPERLINK("./new_k5/query_cmdrels_weight_analyze/0.2_0.1_0.7/au_255890.xlsx","au_255890")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0.125</v>
      </c>
    </row>
    <row r="72" spans="1:7" x14ac:dyDescent="0.15">
      <c r="A72" t="str">
        <f>HYPERLINK("./new_k5/query_cmdrels_weight_analyze/0.2_0.1_0.7/au_257248.xlsx","au_257248")</f>
        <v>au_257248</v>
      </c>
      <c r="B72">
        <v>0</v>
      </c>
      <c r="C72">
        <v>0.14285714285714279</v>
      </c>
      <c r="D72">
        <v>0.16666666666666671</v>
      </c>
      <c r="E72">
        <v>0.14285714285714279</v>
      </c>
      <c r="F72">
        <v>0.25238095238095237</v>
      </c>
      <c r="G72">
        <v>0.3</v>
      </c>
    </row>
    <row r="73" spans="1:7" x14ac:dyDescent="0.15">
      <c r="A73" t="str">
        <f>HYPERLINK("./new_k5/query_cmdrels_weight_analyze/0.2_0.1_0.7/au_259354.xlsx","au_259354")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0.5714285714285714</v>
      </c>
    </row>
    <row r="74" spans="1:7" x14ac:dyDescent="0.15">
      <c r="A74" t="str">
        <f>HYPERLINK("./new_k5/query_cmdrels_weight_analyze/0.2_0.1_0.7/au_263378.xlsx","au_263378")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0.47499999999999998</v>
      </c>
    </row>
    <row r="75" spans="1:7" x14ac:dyDescent="0.15">
      <c r="A75" t="str">
        <f>HYPERLINK("./new_k5/query_cmdrels_weight_analyze/0.2_0.1_0.7/au_264215.xlsx","au_264215")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HYPERLINK("./new_k5/query_cmdrels_weight_analyze/0.2_0.1_0.7/au_265176.xlsx","au_265176")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HYPERLINK("./new_k5/query_cmdrels_weight_analyze/0.2_0.1_0.7/au_275704.xlsx","au_275704")</f>
        <v>au_275704</v>
      </c>
      <c r="B77">
        <v>1</v>
      </c>
      <c r="C77">
        <v>0</v>
      </c>
      <c r="D77">
        <v>1</v>
      </c>
      <c r="E77">
        <v>0.33333333333333331</v>
      </c>
      <c r="F77">
        <v>1</v>
      </c>
      <c r="G77">
        <v>0.33333333333333331</v>
      </c>
    </row>
    <row r="78" spans="1:7" x14ac:dyDescent="0.15">
      <c r="A78" t="str">
        <f>HYPERLINK("./new_k5/query_cmdrels_weight_analyze/0.2_0.1_0.7/au_276669.xlsx","au_276669")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HYPERLINK("./new_k5/query_cmdrels_weight_analyze/0.2_0.1_0.7/au_277565.xlsx","au_277565")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HYPERLINK("./new_k5/query_cmdrels_weight_analyze/0.2_0.1_0.7/au_278403.xlsx","au_278403")</f>
        <v>au_278403</v>
      </c>
      <c r="B80">
        <v>0</v>
      </c>
      <c r="C80">
        <v>0</v>
      </c>
      <c r="D80">
        <v>8.3333333333333329E-2</v>
      </c>
      <c r="E80">
        <v>8.3333333333333329E-2</v>
      </c>
      <c r="F80">
        <v>0.20833333333333329</v>
      </c>
      <c r="G80">
        <v>0.20833333333333329</v>
      </c>
    </row>
    <row r="81" spans="1:7" x14ac:dyDescent="0.15">
      <c r="A81" t="str">
        <f>HYPERLINK("./new_k5/query_cmdrels_weight_analyze/0.2_0.1_0.7/au_28039.xlsx","au_28039")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HYPERLINK("./new_k5/query_cmdrels_weight_analyze/0.2_0.1_0.7/au_281509.xlsx","au_281509")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HYPERLINK("./new_k5/query_cmdrels_weight_analyze/0.2_0.1_0.7/au_282806.xlsx","au_282806")</f>
        <v>au_282806</v>
      </c>
      <c r="B83">
        <v>0</v>
      </c>
      <c r="C83">
        <v>0</v>
      </c>
      <c r="D83">
        <v>0.38888888888888878</v>
      </c>
      <c r="E83">
        <v>0</v>
      </c>
      <c r="F83">
        <v>0.38888888888888878</v>
      </c>
      <c r="G83">
        <v>8.3333333333333329E-2</v>
      </c>
    </row>
    <row r="84" spans="1:7" x14ac:dyDescent="0.15">
      <c r="A84" t="str">
        <f>HYPERLINK("./new_k5/query_cmdrels_weight_analyze/0.2_0.1_0.7/au_283559.xlsx","au_283559")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HYPERLINK("./new_k5/query_cmdrels_weight_analyze/0.2_0.1_0.7/au_285539.xlsx","au_285539")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HYPERLINK("./new_k5/query_cmdrels_weight_analyze/0.2_0.1_0.7/au_287532.xlsx","au_287532")</f>
        <v>au_287532</v>
      </c>
      <c r="B86">
        <v>0</v>
      </c>
      <c r="C86">
        <v>0</v>
      </c>
      <c r="D86">
        <v>0</v>
      </c>
      <c r="E86">
        <v>0.125</v>
      </c>
      <c r="F86">
        <v>0</v>
      </c>
      <c r="G86">
        <v>0.125</v>
      </c>
    </row>
    <row r="87" spans="1:7" x14ac:dyDescent="0.15">
      <c r="A87" t="str">
        <f>HYPERLINK("./new_k5/query_cmdrels_weight_analyze/0.2_0.1_0.7/au_294257.xlsx","au_294257")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HYPERLINK("./new_k5/query_cmdrels_weight_analyze/0.2_0.1_0.7/au_296155.xlsx","au_296155")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HYPERLINK("./new_k5/query_cmdrels_weight_analyze/0.2_0.1_0.7/au_299975.xlsx","au_299975")</f>
        <v>au_299975</v>
      </c>
      <c r="B89">
        <v>0.25</v>
      </c>
      <c r="C89">
        <v>0</v>
      </c>
      <c r="D89">
        <v>0.5</v>
      </c>
      <c r="E89">
        <v>0.125</v>
      </c>
      <c r="F89">
        <v>0.6875</v>
      </c>
      <c r="G89">
        <v>0.125</v>
      </c>
    </row>
    <row r="90" spans="1:7" x14ac:dyDescent="0.15">
      <c r="A90" t="str">
        <f>HYPERLINK("./new_k5/query_cmdrels_weight_analyze/0.2_0.1_0.7/au_301096.xlsx","au_301096")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HYPERLINK("./new_k5/query_cmdrels_weight_analyze/0.2_0.1_0.7/au_303593.xlsx","au_303593")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HYPERLINK("./new_k5/query_cmdrels_weight_analyze/0.2_0.1_0.7/au_303849.xlsx","au_303849")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HYPERLINK("./new_k5/query_cmdrels_weight_analyze/0.2_0.1_0.7/au_307541.xlsx","au_307541")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HYPERLINK("./new_k5/query_cmdrels_weight_analyze/0.2_0.1_0.7/au_307688.xlsx","au_307688")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HYPERLINK("./new_k5/query_cmdrels_weight_analyze/0.2_0.1_0.7/au_309047.xlsx","au_309047")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HYPERLINK("./new_k5/query_cmdrels_weight_analyze/0.2_0.1_0.7/au_311558.xlsx","au_311558")</f>
        <v>au_311558</v>
      </c>
      <c r="B96">
        <v>0</v>
      </c>
      <c r="C96">
        <v>0.25</v>
      </c>
      <c r="D96">
        <v>0.29166666666666657</v>
      </c>
      <c r="E96">
        <v>0.25</v>
      </c>
      <c r="F96">
        <v>0.29166666666666657</v>
      </c>
      <c r="G96">
        <v>0.52500000000000002</v>
      </c>
    </row>
    <row r="97" spans="1:7" x14ac:dyDescent="0.15">
      <c r="A97" t="str">
        <f>HYPERLINK("./new_k5/query_cmdrels_weight_analyze/0.2_0.1_0.7/au_318973.xlsx","au_318973")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HYPERLINK("./new_k5/query_cmdrels_weight_analyze/0.2_0.1_0.7/au_3205.xlsx","au_3205")</f>
        <v>au_3205</v>
      </c>
      <c r="B98">
        <v>0.5</v>
      </c>
      <c r="C98">
        <v>0.5</v>
      </c>
      <c r="D98">
        <v>0.5</v>
      </c>
      <c r="E98">
        <v>0.5</v>
      </c>
      <c r="F98">
        <v>0.5</v>
      </c>
      <c r="G98">
        <v>0.5</v>
      </c>
    </row>
    <row r="99" spans="1:7" x14ac:dyDescent="0.15">
      <c r="A99" t="str">
        <f>HYPERLINK("./new_k5/query_cmdrels_weight_analyze/0.2_0.1_0.7/au_323131.xlsx","au_323131")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0.55555555555555547</v>
      </c>
      <c r="F99">
        <v>0.33333333333333331</v>
      </c>
      <c r="G99">
        <v>0.55555555555555547</v>
      </c>
    </row>
    <row r="100" spans="1:7" x14ac:dyDescent="0.15">
      <c r="A100" t="str">
        <f>HYPERLINK("./new_k5/query_cmdrels_weight_analyze/0.2_0.1_0.7/au_323392.xlsx","au_323392")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HYPERLINK("./new_k5/query_cmdrels_weight_analyze/0.2_0.1_0.7/au_325368.xlsx","au_325368")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HYPERLINK("./new_k5/query_cmdrels_weight_analyze/0.2_0.1_0.7/au_328162.xlsx","au_328162")</f>
        <v>au_328162</v>
      </c>
      <c r="B102">
        <v>0.33333333333333331</v>
      </c>
      <c r="C102">
        <v>0.33333333333333331</v>
      </c>
      <c r="D102">
        <v>1</v>
      </c>
      <c r="E102">
        <v>0.66666666666666663</v>
      </c>
      <c r="F102">
        <v>1</v>
      </c>
      <c r="G102">
        <v>0.66666666666666663</v>
      </c>
    </row>
    <row r="103" spans="1:7" x14ac:dyDescent="0.15">
      <c r="A103" t="str">
        <f>HYPERLINK("./new_k5/query_cmdrels_weight_analyze/0.2_0.1_0.7/au_330148.xlsx","au_330148")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0.52</v>
      </c>
    </row>
    <row r="104" spans="1:7" x14ac:dyDescent="0.15">
      <c r="A104" t="str">
        <f>HYPERLINK("./new_k5/query_cmdrels_weight_analyze/0.2_0.1_0.7/au_332315.xlsx","au_332315")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HYPERLINK("./new_k5/query_cmdrels_weight_analyze/0.2_0.1_0.7/au_334081.xlsx","au_334081")</f>
        <v>au_334081</v>
      </c>
      <c r="B105">
        <v>0.25</v>
      </c>
      <c r="C105">
        <v>0.25</v>
      </c>
      <c r="D105">
        <v>0.41666666666666657</v>
      </c>
      <c r="E105">
        <v>0.41666666666666657</v>
      </c>
      <c r="F105">
        <v>0.41666666666666657</v>
      </c>
      <c r="G105">
        <v>0.60416666666666663</v>
      </c>
    </row>
    <row r="106" spans="1:7" x14ac:dyDescent="0.15">
      <c r="A106" t="str">
        <f>HYPERLINK("./new_k5/query_cmdrels_weight_analyze/0.2_0.1_0.7/au_34077.xlsx","au_34077")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0.33333333333333331</v>
      </c>
      <c r="F106">
        <v>0.33333333333333331</v>
      </c>
      <c r="G106">
        <v>0.59166666666666667</v>
      </c>
    </row>
    <row r="107" spans="1:7" x14ac:dyDescent="0.15">
      <c r="A107" t="str">
        <f>HYPERLINK("./new_k5/query_cmdrels_weight_analyze/0.2_0.1_0.7/au_341428.xlsx","au_341428")</f>
        <v>au_341428</v>
      </c>
      <c r="B107">
        <v>0.14285714285714279</v>
      </c>
      <c r="C107">
        <v>0</v>
      </c>
      <c r="D107">
        <v>0.42857142857142849</v>
      </c>
      <c r="E107">
        <v>0.16666666666666671</v>
      </c>
      <c r="F107">
        <v>0.5714285714285714</v>
      </c>
      <c r="G107">
        <v>0.27380952380952378</v>
      </c>
    </row>
    <row r="108" spans="1:7" x14ac:dyDescent="0.15">
      <c r="A108" t="str">
        <f>HYPERLINK("./new_k5/query_cmdrels_weight_analyze/0.2_0.1_0.7/au_341584.xlsx","au_341584")</f>
        <v>au_341584</v>
      </c>
      <c r="B108">
        <v>0.25</v>
      </c>
      <c r="C108">
        <v>0.25</v>
      </c>
      <c r="D108">
        <v>0.5</v>
      </c>
      <c r="E108">
        <v>0.25</v>
      </c>
      <c r="F108">
        <v>0.5</v>
      </c>
      <c r="G108">
        <v>0.25</v>
      </c>
    </row>
    <row r="109" spans="1:7" x14ac:dyDescent="0.15">
      <c r="A109" t="str">
        <f>HYPERLINK("./new_k5/query_cmdrels_weight_analyze/0.2_0.1_0.7/au_346864.xlsx","au_346864")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0.2857142857142857</v>
      </c>
      <c r="F109">
        <v>0.23809523809523811</v>
      </c>
      <c r="G109">
        <v>0.39285714285714279</v>
      </c>
    </row>
    <row r="110" spans="1:7" x14ac:dyDescent="0.15">
      <c r="A110" t="str">
        <f>HYPERLINK("./new_k5/query_cmdrels_weight_analyze/0.2_0.1_0.7/au_351765.xlsx","au_351765")</f>
        <v>au_351765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15">
      <c r="A111" t="str">
        <f>HYPERLINK("./new_k5/query_cmdrels_weight_analyze/0.2_0.1_0.7/au_35922.xlsx","au_35922")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HYPERLINK("./new_k5/query_cmdrels_weight_analyze/0.2_0.1_0.7/au_359856.xlsx","au_359856")</f>
        <v>au_359856</v>
      </c>
      <c r="B112">
        <v>0.25</v>
      </c>
      <c r="C112">
        <v>0.25</v>
      </c>
      <c r="D112">
        <v>0.75</v>
      </c>
      <c r="E112">
        <v>0.41666666666666657</v>
      </c>
      <c r="F112">
        <v>0.95</v>
      </c>
      <c r="G112">
        <v>0.60416666666666663</v>
      </c>
    </row>
    <row r="113" spans="1:7" x14ac:dyDescent="0.15">
      <c r="A113" t="str">
        <f>HYPERLINK("./new_k5/query_cmdrels_weight_analyze/0.2_0.1_0.7/au_360423.xlsx","au_360423")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HYPERLINK("./new_k5/query_cmdrels_weight_analyze/0.2_0.1_0.7/au_36287.xlsx","au_36287")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HYPERLINK("./new_k5/query_cmdrels_weight_analyze/0.2_0.1_0.7/au_366742.xlsx","au_366742")</f>
        <v>au_366742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0.05</v>
      </c>
    </row>
    <row r="116" spans="1:7" x14ac:dyDescent="0.15">
      <c r="A116" t="str">
        <f>HYPERLINK("./new_k5/query_cmdrels_weight_analyze/0.2_0.1_0.7/au_377937.xlsx","au_377937")</f>
        <v>au_377937</v>
      </c>
      <c r="B116">
        <v>0.25</v>
      </c>
      <c r="C116">
        <v>0.25</v>
      </c>
      <c r="D116">
        <v>0.5</v>
      </c>
      <c r="E116">
        <v>0.75</v>
      </c>
      <c r="F116">
        <v>0.5</v>
      </c>
      <c r="G116">
        <v>0.75</v>
      </c>
    </row>
    <row r="117" spans="1:7" x14ac:dyDescent="0.15">
      <c r="A117" t="str">
        <f>HYPERLINK("./new_k5/query_cmdrels_weight_analyze/0.2_0.1_0.7/au_383997.xlsx","au_383997")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0.50714285714285712</v>
      </c>
    </row>
    <row r="118" spans="1:7" x14ac:dyDescent="0.15">
      <c r="A118" t="str">
        <f>HYPERLINK("./new_k5/query_cmdrels_weight_analyze/0.2_0.1_0.7/au_3883.xlsx","au_3883")</f>
        <v>au_3883</v>
      </c>
      <c r="B118">
        <v>0.25</v>
      </c>
      <c r="C118">
        <v>0.25</v>
      </c>
      <c r="D118">
        <v>0.25</v>
      </c>
      <c r="E118">
        <v>0.5</v>
      </c>
      <c r="F118">
        <v>0.375</v>
      </c>
      <c r="G118">
        <v>0.5</v>
      </c>
    </row>
    <row r="119" spans="1:7" x14ac:dyDescent="0.15">
      <c r="A119" t="str">
        <f>HYPERLINK("./new_k5/query_cmdrels_weight_analyze/0.2_0.1_0.7/au_396883.xlsx","au_396883")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HYPERLINK("./new_k5/query_cmdrels_weight_analyze/0.2_0.1_0.7/au_39760.xlsx","au_39760")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HYPERLINK("./new_k5/query_cmdrels_weight_analyze/0.2_0.1_0.7/au_398818.xlsx","au_398818")</f>
        <v>au_398818</v>
      </c>
      <c r="B121">
        <v>0.5</v>
      </c>
      <c r="C121">
        <v>0.5</v>
      </c>
      <c r="D121">
        <v>0.83333333333333326</v>
      </c>
      <c r="E121">
        <v>0.5</v>
      </c>
      <c r="F121">
        <v>0.83333333333333326</v>
      </c>
      <c r="G121">
        <v>0.75</v>
      </c>
    </row>
    <row r="122" spans="1:7" x14ac:dyDescent="0.15">
      <c r="A122" t="str">
        <f>HYPERLINK("./new_k5/query_cmdrels_weight_analyze/0.2_0.1_0.7/au_400807.xlsx","au_400807")</f>
        <v>au_400807</v>
      </c>
      <c r="B122">
        <v>0</v>
      </c>
      <c r="C122">
        <v>0.33333333333333331</v>
      </c>
      <c r="D122">
        <v>0.16666666666666671</v>
      </c>
      <c r="E122">
        <v>0.66666666666666663</v>
      </c>
      <c r="F122">
        <v>0.16666666666666671</v>
      </c>
      <c r="G122">
        <v>0.91666666666666663</v>
      </c>
    </row>
    <row r="123" spans="1:7" x14ac:dyDescent="0.15">
      <c r="A123" t="str">
        <f>HYPERLINK("./new_k5/query_cmdrels_weight_analyze/0.2_0.1_0.7/au_408611.xlsx","au_408611")</f>
        <v>au_408611</v>
      </c>
      <c r="B123">
        <v>0.33333333333333331</v>
      </c>
      <c r="C123">
        <v>0</v>
      </c>
      <c r="D123">
        <v>0.33333333333333331</v>
      </c>
      <c r="E123">
        <v>0.16666666666666671</v>
      </c>
      <c r="F123">
        <v>0.33333333333333331</v>
      </c>
      <c r="G123">
        <v>0.16666666666666671</v>
      </c>
    </row>
    <row r="124" spans="1:7" x14ac:dyDescent="0.15">
      <c r="A124" t="str">
        <f>HYPERLINK("./new_k5/query_cmdrels_weight_analyze/0.2_0.1_0.7/au_414737.xlsx","au_414737")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HYPERLINK("./new_k5/query_cmdrels_weight_analyze/0.2_0.1_0.7/au_420722.xlsx","au_420722")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HYPERLINK("./new_k5/query_cmdrels_weight_analyze/0.2_0.1_0.7/au_423942.xlsx","au_423942")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0.55555555555555547</v>
      </c>
      <c r="F126">
        <v>0.8666666666666667</v>
      </c>
      <c r="G126">
        <v>0.55555555555555547</v>
      </c>
    </row>
    <row r="127" spans="1:7" x14ac:dyDescent="0.15">
      <c r="A127" t="str">
        <f>HYPERLINK("./new_k5/query_cmdrels_weight_analyze/0.2_0.1_0.7/au_430382.xlsx","au_430382")</f>
        <v>au_430382</v>
      </c>
      <c r="B127">
        <v>0</v>
      </c>
      <c r="C127">
        <v>0.25</v>
      </c>
      <c r="D127">
        <v>0.29166666666666657</v>
      </c>
      <c r="E127">
        <v>0.25</v>
      </c>
      <c r="F127">
        <v>0.29166666666666657</v>
      </c>
      <c r="G127">
        <v>0.375</v>
      </c>
    </row>
    <row r="128" spans="1:7" x14ac:dyDescent="0.15">
      <c r="A128" t="str">
        <f>HYPERLINK("./new_k5/query_cmdrels_weight_analyze/0.2_0.1_0.7/au_432836.xlsx","au_432836")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HYPERLINK("./new_k5/query_cmdrels_weight_analyze/0.2_0.1_0.7/au_440326.xlsx","au_440326")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HYPERLINK("./new_k5/query_cmdrels_weight_analyze/0.2_0.1_0.7/au_442914.xlsx","au_442914")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HYPERLINK("./new_k5/query_cmdrels_weight_analyze/0.2_0.1_0.7/au_443227.xlsx","au_443227")</f>
        <v>au_443227</v>
      </c>
      <c r="B131">
        <v>0.5</v>
      </c>
      <c r="C131">
        <v>0</v>
      </c>
      <c r="D131">
        <v>0.5</v>
      </c>
      <c r="E131">
        <v>0.25</v>
      </c>
      <c r="F131">
        <v>0.5</v>
      </c>
      <c r="G131">
        <v>0.25</v>
      </c>
    </row>
    <row r="132" spans="1:7" x14ac:dyDescent="0.15">
      <c r="A132" t="str">
        <f>HYPERLINK("./new_k5/query_cmdrels_weight_analyze/0.2_0.1_0.7/au_44534.xlsx","au_44534")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0.3666666666666667</v>
      </c>
    </row>
    <row r="133" spans="1:7" x14ac:dyDescent="0.15">
      <c r="A133" t="str">
        <f>HYPERLINK("./new_k5/query_cmdrels_weight_analyze/0.2_0.1_0.7/au_451805.xlsx","au_451805")</f>
        <v>au_451805</v>
      </c>
      <c r="B133">
        <v>0.33333333333333331</v>
      </c>
      <c r="C133">
        <v>0.33333333333333331</v>
      </c>
      <c r="D133">
        <v>0.33333333333333331</v>
      </c>
      <c r="E133">
        <v>0.33333333333333331</v>
      </c>
      <c r="F133">
        <v>0.33333333333333331</v>
      </c>
      <c r="G133">
        <v>0.33333333333333331</v>
      </c>
    </row>
    <row r="134" spans="1:7" x14ac:dyDescent="0.15">
      <c r="A134" t="str">
        <f>HYPERLINK("./new_k5/query_cmdrels_weight_analyze/0.2_0.1_0.7/au_464264.xlsx","au_464264")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6.6666666666666666E-2</v>
      </c>
    </row>
    <row r="135" spans="1:7" x14ac:dyDescent="0.15">
      <c r="A135" t="str">
        <f>HYPERLINK("./new_k5/query_cmdrels_weight_analyze/0.2_0.1_0.7/au_468808.xlsx","au_468808")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HYPERLINK("./new_k5/query_cmdrels_weight_analyze/0.2_0.1_0.7/au_469143.xlsx","au_469143")</f>
        <v>au_469143</v>
      </c>
      <c r="B136">
        <v>0.2</v>
      </c>
      <c r="C136">
        <v>0.2</v>
      </c>
      <c r="D136">
        <v>0.33333333333333331</v>
      </c>
      <c r="E136">
        <v>0.2</v>
      </c>
      <c r="F136">
        <v>0.33333333333333331</v>
      </c>
      <c r="G136">
        <v>0.3</v>
      </c>
    </row>
    <row r="137" spans="1:7" x14ac:dyDescent="0.15">
      <c r="A137" t="str">
        <f>HYPERLINK("./new_k5/query_cmdrels_weight_analyze/0.2_0.1_0.7/au_470237.xlsx","au_470237")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HYPERLINK("./new_k5/query_cmdrels_weight_analyze/0.2_0.1_0.7/au_473037.xlsx","au_473037")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</v>
      </c>
    </row>
    <row r="139" spans="1:7" x14ac:dyDescent="0.15">
      <c r="A139" t="str">
        <f>HYPERLINK("./new_k5/query_cmdrels_weight_analyze/0.2_0.1_0.7/au_48362.xlsx","au_48362")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HYPERLINK("./new_k5/query_cmdrels_weight_analyze/0.2_0.1_0.7/au_488435.xlsx","au_488435")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HYPERLINK("./new_k5/query_cmdrels_weight_analyze/0.2_0.1_0.7/au_493826.xlsx","au_493826")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0.23809523809523811</v>
      </c>
      <c r="F141">
        <v>0.14285714285714279</v>
      </c>
      <c r="G141">
        <v>0.23809523809523811</v>
      </c>
    </row>
    <row r="142" spans="1:7" x14ac:dyDescent="0.15">
      <c r="A142" t="str">
        <f>HYPERLINK("./new_k5/query_cmdrels_weight_analyze/0.2_0.1_0.7/au_502110.xlsx","au_502110")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HYPERLINK("./new_k5/query_cmdrels_weight_analyze/0.2_0.1_0.7/au_50344.xlsx","au_50344")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HYPERLINK("./new_k5/query_cmdrels_weight_analyze/0.2_0.1_0.7/au_511467.xlsx","au_511467")</f>
        <v>au_511467</v>
      </c>
      <c r="B144">
        <v>0</v>
      </c>
      <c r="C144">
        <v>0.16666666666666671</v>
      </c>
      <c r="D144">
        <v>0.19444444444444439</v>
      </c>
      <c r="E144">
        <v>0.16666666666666671</v>
      </c>
      <c r="F144">
        <v>0.19444444444444439</v>
      </c>
      <c r="G144">
        <v>0.16666666666666671</v>
      </c>
    </row>
    <row r="145" spans="1:7" x14ac:dyDescent="0.15">
      <c r="A145" t="str">
        <f>HYPERLINK("./new_k5/query_cmdrels_weight_analyze/0.2_0.1_0.7/au_513046.xlsx","au_513046")</f>
        <v>au_513046</v>
      </c>
      <c r="B145">
        <v>0.25</v>
      </c>
      <c r="C145">
        <v>0</v>
      </c>
      <c r="D145">
        <v>0.5</v>
      </c>
      <c r="E145">
        <v>0.29166666666666657</v>
      </c>
      <c r="F145">
        <v>0.5</v>
      </c>
      <c r="G145">
        <v>0.29166666666666657</v>
      </c>
    </row>
    <row r="146" spans="1:7" x14ac:dyDescent="0.15">
      <c r="A146" t="str">
        <f>HYPERLINK("./new_k5/query_cmdrels_weight_analyze/0.2_0.1_0.7/au_517354.xlsx","au_517354")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0.14285714285714279</v>
      </c>
      <c r="F146">
        <v>0.2142857142857143</v>
      </c>
      <c r="G146">
        <v>0.2142857142857143</v>
      </c>
    </row>
    <row r="147" spans="1:7" x14ac:dyDescent="0.15">
      <c r="A147" t="str">
        <f>HYPERLINK("./new_k5/query_cmdrels_weight_analyze/0.2_0.1_0.7/au_522431.xlsx","au_522431")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0.23333333333333331</v>
      </c>
    </row>
    <row r="148" spans="1:7" x14ac:dyDescent="0.15">
      <c r="A148" t="str">
        <f>HYPERLINK("./new_k5/query_cmdrels_weight_analyze/0.2_0.1_0.7/au_52773.xlsx","au_52773")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0.05</v>
      </c>
    </row>
    <row r="149" spans="1:7" x14ac:dyDescent="0.15">
      <c r="A149" t="str">
        <f>HYPERLINK("./new_k5/query_cmdrels_weight_analyze/0.2_0.1_0.7/au_528411.xlsx","au_528411")</f>
        <v>au_528411</v>
      </c>
      <c r="B149">
        <v>0</v>
      </c>
      <c r="C149">
        <v>0.5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HYPERLINK("./new_k5/query_cmdrels_weight_analyze/0.2_0.1_0.7/au_53263.xlsx","au_53263")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0.75</v>
      </c>
    </row>
    <row r="151" spans="1:7" x14ac:dyDescent="0.15">
      <c r="A151" t="str">
        <f>HYPERLINK("./new_k5/query_cmdrels_weight_analyze/0.2_0.1_0.7/au_53444.xlsx","au_53444")</f>
        <v>au_53444</v>
      </c>
      <c r="B151">
        <v>0.5</v>
      </c>
      <c r="C151">
        <v>0</v>
      </c>
      <c r="D151">
        <v>0.5</v>
      </c>
      <c r="E151">
        <v>0</v>
      </c>
      <c r="F151">
        <v>0.5</v>
      </c>
      <c r="G151">
        <v>0</v>
      </c>
    </row>
    <row r="152" spans="1:7" x14ac:dyDescent="0.15">
      <c r="A152" t="str">
        <f>HYPERLINK("./new_k5/query_cmdrels_weight_analyze/0.2_0.1_0.7/au_538208.xlsx","au_538208")</f>
        <v>au_538208</v>
      </c>
      <c r="B152">
        <v>0.125</v>
      </c>
      <c r="C152">
        <v>0.125</v>
      </c>
      <c r="D152">
        <v>0.375</v>
      </c>
      <c r="E152">
        <v>0.375</v>
      </c>
      <c r="F152">
        <v>0.5</v>
      </c>
      <c r="G152">
        <v>0.5</v>
      </c>
    </row>
    <row r="153" spans="1:7" x14ac:dyDescent="0.15">
      <c r="A153" t="str">
        <f>HYPERLINK("./new_k5/query_cmdrels_weight_analyze/0.2_0.1_0.7/au_53822.xlsx","au_53822")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HYPERLINK("./new_k5/query_cmdrels_weight_analyze/0.2_0.1_0.7/au_539243.xlsx","au_539243")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0.33333333333333331</v>
      </c>
    </row>
    <row r="155" spans="1:7" x14ac:dyDescent="0.15">
      <c r="A155" t="str">
        <f>HYPERLINK("./new_k5/query_cmdrels_weight_analyze/0.2_0.1_0.7/au_558280.xlsx","au_558280")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0.63888888888888884</v>
      </c>
    </row>
    <row r="156" spans="1:7" x14ac:dyDescent="0.15">
      <c r="A156" t="str">
        <f>HYPERLINK("./new_k5/query_cmdrels_weight_analyze/0.2_0.1_0.7/au_558669.xlsx","au_558669")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HYPERLINK("./new_k5/query_cmdrels_weight_analyze/0.2_0.1_0.7/au_55868.xlsx","au_55868")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0.21296296296296291</v>
      </c>
    </row>
    <row r="158" spans="1:7" x14ac:dyDescent="0.15">
      <c r="A158" t="str">
        <f>HYPERLINK("./new_k5/query_cmdrels_weight_analyze/0.2_0.1_0.7/au_561.xlsx","au_561")</f>
        <v>au_561</v>
      </c>
      <c r="B158">
        <v>0.25</v>
      </c>
      <c r="C158">
        <v>0.25</v>
      </c>
      <c r="D158">
        <v>0.25</v>
      </c>
      <c r="E158">
        <v>0.41666666666666657</v>
      </c>
      <c r="F158">
        <v>0.25</v>
      </c>
      <c r="G158">
        <v>0.41666666666666657</v>
      </c>
    </row>
    <row r="159" spans="1:7" x14ac:dyDescent="0.15">
      <c r="A159" t="str">
        <f>HYPERLINK("./new_k5/query_cmdrels_weight_analyze/0.2_0.1_0.7/au_564567.xlsx","au_564567")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HYPERLINK("./new_k5/query_cmdrels_weight_analyze/0.2_0.1_0.7/au_57994.xlsx","au_57994")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0.54285714285714282</v>
      </c>
    </row>
    <row r="161" spans="1:7" x14ac:dyDescent="0.15">
      <c r="A161" t="str">
        <f>HYPERLINK("./new_k5/query_cmdrels_weight_analyze/0.2_0.1_0.7/au_589210.xlsx","au_589210")</f>
        <v>au_589210</v>
      </c>
      <c r="B161">
        <v>0.25</v>
      </c>
      <c r="C161">
        <v>0.25</v>
      </c>
      <c r="D161">
        <v>0.5</v>
      </c>
      <c r="E161">
        <v>0.41666666666666657</v>
      </c>
      <c r="F161">
        <v>0.5</v>
      </c>
      <c r="G161">
        <v>0.41666666666666657</v>
      </c>
    </row>
    <row r="162" spans="1:7" x14ac:dyDescent="0.15">
      <c r="A162" t="str">
        <f>HYPERLINK("./new_k5/query_cmdrels_weight_analyze/0.2_0.1_0.7/au_5911.xlsx","au_5911")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HYPERLINK("./new_k5/query_cmdrels_weight_analyze/0.2_0.1_0.7/au_59356.xlsx","au_59356")</f>
        <v>au_59356</v>
      </c>
      <c r="B163">
        <v>0</v>
      </c>
      <c r="C163">
        <v>0</v>
      </c>
      <c r="D163">
        <v>0.16666666666666671</v>
      </c>
      <c r="E163">
        <v>0.25</v>
      </c>
      <c r="F163">
        <v>0.16666666666666671</v>
      </c>
      <c r="G163">
        <v>0.25</v>
      </c>
    </row>
    <row r="164" spans="1:7" x14ac:dyDescent="0.15">
      <c r="A164" t="str">
        <f>HYPERLINK("./new_k5/query_cmdrels_weight_analyze/0.2_0.1_0.7/au_609850.xlsx","au_609850")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HYPERLINK("./new_k5/query_cmdrels_weight_analyze/0.2_0.1_0.7/au_61408.xlsx","au_61408")</f>
        <v>au_61408</v>
      </c>
      <c r="B165">
        <v>0</v>
      </c>
      <c r="C165">
        <v>0.33333333333333331</v>
      </c>
      <c r="D165">
        <v>0.16666666666666671</v>
      </c>
      <c r="E165">
        <v>0.55555555555555547</v>
      </c>
      <c r="F165">
        <v>0.16666666666666671</v>
      </c>
      <c r="G165">
        <v>0.55555555555555547</v>
      </c>
    </row>
    <row r="166" spans="1:7" x14ac:dyDescent="0.15">
      <c r="A166" t="str">
        <f>HYPERLINK("./new_k5/query_cmdrels_weight_analyze/0.2_0.1_0.7/au_617850.xlsx","au_617850")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HYPERLINK("./new_k5/query_cmdrels_weight_analyze/0.2_0.1_0.7/au_62073.xlsx","au_62073")</f>
        <v>au_62073</v>
      </c>
      <c r="B167">
        <v>0</v>
      </c>
      <c r="C167">
        <v>0.2</v>
      </c>
      <c r="D167">
        <v>0.23333333333333331</v>
      </c>
      <c r="E167">
        <v>0.33333333333333331</v>
      </c>
      <c r="F167">
        <v>0.23333333333333331</v>
      </c>
      <c r="G167">
        <v>0.45333333333333331</v>
      </c>
    </row>
    <row r="168" spans="1:7" x14ac:dyDescent="0.15">
      <c r="A168" t="str">
        <f>HYPERLINK("./new_k5/query_cmdrels_weight_analyze/0.2_0.1_0.7/au_620930.xlsx","au_620930")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0.48333333333333328</v>
      </c>
    </row>
    <row r="169" spans="1:7" x14ac:dyDescent="0.15">
      <c r="A169" t="str">
        <f>HYPERLINK("./new_k5/query_cmdrels_weight_analyze/0.2_0.1_0.7/au_62492.xlsx","au_62492")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HYPERLINK("./new_k5/query_cmdrels_weight_analyze/0.2_0.1_0.7/au_626078.xlsx","au_626078")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HYPERLINK("./new_k5/query_cmdrels_weight_analyze/0.2_0.1_0.7/au_636944.xlsx","au_636944")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HYPERLINK("./new_k5/query_cmdrels_weight_analyze/0.2_0.1_0.7/au_648603.xlsx","au_648603")</f>
        <v>au_648603</v>
      </c>
      <c r="B172">
        <v>0.25</v>
      </c>
      <c r="C172">
        <v>0.25</v>
      </c>
      <c r="D172">
        <v>0.25</v>
      </c>
      <c r="E172">
        <v>0.41666666666666657</v>
      </c>
      <c r="F172">
        <v>0.25</v>
      </c>
      <c r="G172">
        <v>0.56666666666666665</v>
      </c>
    </row>
    <row r="173" spans="1:7" x14ac:dyDescent="0.15">
      <c r="A173" t="str">
        <f>HYPERLINK("./new_k5/query_cmdrels_weight_analyze/0.2_0.1_0.7/au_65331.xlsx","au_65331")</f>
        <v>au_65331</v>
      </c>
      <c r="B173">
        <v>0</v>
      </c>
      <c r="C173">
        <v>0.16666666666666671</v>
      </c>
      <c r="D173">
        <v>8.3333333333333329E-2</v>
      </c>
      <c r="E173">
        <v>0.27777777777777768</v>
      </c>
      <c r="F173">
        <v>0.16666666666666671</v>
      </c>
      <c r="G173">
        <v>0.27777777777777768</v>
      </c>
    </row>
    <row r="174" spans="1:7" x14ac:dyDescent="0.15">
      <c r="A174" t="str">
        <f>HYPERLINK("./new_k5/query_cmdrels_weight_analyze/0.2_0.1_0.7/au_66000.xlsx","au_66000")</f>
        <v>au_66000</v>
      </c>
      <c r="B174">
        <v>0</v>
      </c>
      <c r="C174">
        <v>0.2</v>
      </c>
      <c r="D174">
        <v>0</v>
      </c>
      <c r="E174">
        <v>0.33333333333333331</v>
      </c>
      <c r="F174">
        <v>0</v>
      </c>
      <c r="G174">
        <v>0.48333333333333328</v>
      </c>
    </row>
    <row r="175" spans="1:7" x14ac:dyDescent="0.15">
      <c r="A175" t="str">
        <f>HYPERLINK("./new_k5/query_cmdrels_weight_analyze/0.2_0.1_0.7/au_660846.xlsx","au_660846")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HYPERLINK("./new_k5/query_cmdrels_weight_analyze/0.2_0.1_0.7/au_662935.xlsx","au_662935")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0.25</v>
      </c>
    </row>
    <row r="177" spans="1:7" x14ac:dyDescent="0.15">
      <c r="A177" t="str">
        <f>HYPERLINK("./new_k5/query_cmdrels_weight_analyze/0.2_0.1_0.7/au_67663.xlsx","au_67663")</f>
        <v>au_67663</v>
      </c>
      <c r="B177">
        <v>0</v>
      </c>
      <c r="C177">
        <v>0.25</v>
      </c>
      <c r="D177">
        <v>0.29166666666666657</v>
      </c>
      <c r="E177">
        <v>0.5</v>
      </c>
      <c r="F177">
        <v>0.29166666666666657</v>
      </c>
      <c r="G177">
        <v>0.65</v>
      </c>
    </row>
    <row r="178" spans="1:7" x14ac:dyDescent="0.15">
      <c r="A178" t="str">
        <f>HYPERLINK("./new_k5/query_cmdrels_weight_analyze/0.2_0.1_0.7/au_68028.xlsx","au_68028")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0.2857142857142857</v>
      </c>
      <c r="F178">
        <v>0.37142857142857139</v>
      </c>
      <c r="G178">
        <v>0.2857142857142857</v>
      </c>
    </row>
    <row r="179" spans="1:7" x14ac:dyDescent="0.15">
      <c r="A179" t="str">
        <f>HYPERLINK("./new_k5/query_cmdrels_weight_analyze/0.2_0.1_0.7/au_681312.xlsx","au_681312")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0.42857142857142849</v>
      </c>
      <c r="F179">
        <v>0.42857142857142849</v>
      </c>
      <c r="G179">
        <v>0.5714285714285714</v>
      </c>
    </row>
    <row r="180" spans="1:7" x14ac:dyDescent="0.15">
      <c r="A180" t="str">
        <f>HYPERLINK("./new_k5/query_cmdrels_weight_analyze/0.2_0.1_0.7/au_686239.xlsx","au_686239")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15">
      <c r="A181" t="str">
        <f>HYPERLINK("./new_k5/query_cmdrels_weight_analyze/0.2_0.1_0.7/au_68809.xlsx","au_68809")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0.28333333333333333</v>
      </c>
    </row>
    <row r="182" spans="1:7" x14ac:dyDescent="0.15">
      <c r="A182" t="str">
        <f>HYPERLINK("./new_k5/query_cmdrels_weight_analyze/0.2_0.1_0.7/au_69556.xlsx","au_69556")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HYPERLINK("./new_k5/query_cmdrels_weight_analyze/0.2_0.1_0.7/au_698993.xlsx","au_698993")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0.5</v>
      </c>
    </row>
    <row r="184" spans="1:7" x14ac:dyDescent="0.15">
      <c r="A184" t="str">
        <f>HYPERLINK("./new_k5/query_cmdrels_weight_analyze/0.2_0.1_0.7/au_707881.xlsx","au_707881")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0.16666666666666671</v>
      </c>
    </row>
    <row r="185" spans="1:7" x14ac:dyDescent="0.15">
      <c r="A185" t="str">
        <f>HYPERLINK("./new_k5/query_cmdrels_weight_analyze/0.2_0.1_0.7/au_709594.xlsx","au_709594")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HYPERLINK("./new_k5/query_cmdrels_weight_analyze/0.2_0.1_0.7/au_71309.xlsx","au_71309")</f>
        <v>au_71309</v>
      </c>
      <c r="B186">
        <v>0.125</v>
      </c>
      <c r="C186">
        <v>0.125</v>
      </c>
      <c r="D186">
        <v>0.20833333333333329</v>
      </c>
      <c r="E186">
        <v>0.25</v>
      </c>
      <c r="F186">
        <v>0.20833333333333329</v>
      </c>
      <c r="G186">
        <v>0.32500000000000001</v>
      </c>
    </row>
    <row r="187" spans="1:7" x14ac:dyDescent="0.15">
      <c r="A187" t="str">
        <f>HYPERLINK("./new_k5/query_cmdrels_weight_analyze/0.2_0.1_0.7/au_7138.xlsx","au_7138")</f>
        <v>au_7138</v>
      </c>
      <c r="B187">
        <v>0.25</v>
      </c>
      <c r="C187">
        <v>0</v>
      </c>
      <c r="D187">
        <v>0.75</v>
      </c>
      <c r="E187">
        <v>8.3333333333333329E-2</v>
      </c>
      <c r="F187">
        <v>0.75</v>
      </c>
      <c r="G187">
        <v>0.20833333333333329</v>
      </c>
    </row>
    <row r="188" spans="1:7" x14ac:dyDescent="0.15">
      <c r="A188" t="str">
        <f>HYPERLINK("./new_k5/query_cmdrels_weight_analyze/0.2_0.1_0.7/au_72549.xlsx","au_72549")</f>
        <v>au_72549</v>
      </c>
      <c r="B188">
        <v>0</v>
      </c>
      <c r="C188">
        <v>0.25</v>
      </c>
      <c r="D188">
        <v>0</v>
      </c>
      <c r="E188">
        <v>0.25</v>
      </c>
      <c r="F188">
        <v>0</v>
      </c>
      <c r="G188">
        <v>0.25</v>
      </c>
    </row>
    <row r="189" spans="1:7" x14ac:dyDescent="0.15">
      <c r="A189" t="str">
        <f>HYPERLINK("./new_k5/query_cmdrels_weight_analyze/0.2_0.1_0.7/au_740805.xlsx","au_740805")</f>
        <v>au_740805</v>
      </c>
      <c r="B189">
        <v>0.25</v>
      </c>
      <c r="C189">
        <v>0.25</v>
      </c>
      <c r="D189">
        <v>0.41666666666666657</v>
      </c>
      <c r="E189">
        <v>0.25</v>
      </c>
      <c r="F189">
        <v>0.41666666666666657</v>
      </c>
      <c r="G189">
        <v>0.35</v>
      </c>
    </row>
    <row r="190" spans="1:7" x14ac:dyDescent="0.15">
      <c r="A190" t="str">
        <f>HYPERLINK("./new_k5/query_cmdrels_weight_analyze/0.2_0.1_0.7/au_760796.xlsx","au_760796")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0.4</v>
      </c>
    </row>
    <row r="191" spans="1:7" x14ac:dyDescent="0.15">
      <c r="A191" t="str">
        <f>HYPERLINK("./new_k5/query_cmdrels_weight_analyze/0.2_0.1_0.7/au_762846.xlsx","au_762846")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0.43333333333333329</v>
      </c>
    </row>
    <row r="192" spans="1:7" x14ac:dyDescent="0.15">
      <c r="A192" t="str">
        <f>HYPERLINK("./new_k5/query_cmdrels_weight_analyze/0.2_0.1_0.7/au_767786.xlsx","au_767786")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0.6</v>
      </c>
    </row>
    <row r="193" spans="1:7" x14ac:dyDescent="0.15">
      <c r="A193" t="str">
        <f>HYPERLINK("./new_k5/query_cmdrels_weight_analyze/0.2_0.1_0.7/au_778906.xlsx","au_778906")</f>
        <v>au_778906</v>
      </c>
      <c r="B193">
        <v>0.2</v>
      </c>
      <c r="C193">
        <v>0.2</v>
      </c>
      <c r="D193">
        <v>0.33333333333333331</v>
      </c>
      <c r="E193">
        <v>0.33333333333333331</v>
      </c>
      <c r="F193">
        <v>0.33333333333333331</v>
      </c>
      <c r="G193">
        <v>0.48333333333333328</v>
      </c>
    </row>
    <row r="194" spans="1:7" x14ac:dyDescent="0.15">
      <c r="A194" t="str">
        <f>HYPERLINK("./new_k5/query_cmdrels_weight_analyze/0.2_0.1_0.7/au_818929.xlsx","au_818929")</f>
        <v>au_818929</v>
      </c>
      <c r="B194">
        <v>0</v>
      </c>
      <c r="C194">
        <v>0.2</v>
      </c>
      <c r="D194">
        <v>0</v>
      </c>
      <c r="E194">
        <v>0.33333333333333331</v>
      </c>
      <c r="F194">
        <v>0</v>
      </c>
      <c r="G194">
        <v>0.33333333333333331</v>
      </c>
    </row>
    <row r="195" spans="1:7" x14ac:dyDescent="0.15">
      <c r="A195" t="str">
        <f>HYPERLINK("./new_k5/query_cmdrels_weight_analyze/0.2_0.1_0.7/au_844876.xlsx","au_844876")</f>
        <v>au_844876</v>
      </c>
      <c r="B195">
        <v>0.5</v>
      </c>
      <c r="C195">
        <v>0.5</v>
      </c>
      <c r="D195">
        <v>0.5</v>
      </c>
      <c r="E195">
        <v>0.83333333333333326</v>
      </c>
      <c r="F195">
        <v>0.5</v>
      </c>
      <c r="G195">
        <v>0.83333333333333326</v>
      </c>
    </row>
    <row r="196" spans="1:7" x14ac:dyDescent="0.15">
      <c r="A196" t="str">
        <f>HYPERLINK("./new_k5/query_cmdrels_weight_analyze/0.2_0.1_0.7/au_85318.xlsx","au_85318")</f>
        <v>au_85318</v>
      </c>
      <c r="B196">
        <v>0.2</v>
      </c>
      <c r="C196">
        <v>0.2</v>
      </c>
      <c r="D196">
        <v>0.6</v>
      </c>
      <c r="E196">
        <v>0.6</v>
      </c>
      <c r="F196">
        <v>0.6</v>
      </c>
      <c r="G196">
        <v>0.6</v>
      </c>
    </row>
    <row r="197" spans="1:7" x14ac:dyDescent="0.15">
      <c r="A197" t="str">
        <f>HYPERLINK("./new_k5/query_cmdrels_weight_analyze/0.2_0.1_0.7/au_854332.xlsx","au_854332")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HYPERLINK("./new_k5/query_cmdrels_weight_analyze/0.2_0.1_0.7/au_854373.xlsx","au_854373")</f>
        <v>au_854373</v>
      </c>
      <c r="B198">
        <v>0.33333333333333331</v>
      </c>
      <c r="C198">
        <v>0</v>
      </c>
      <c r="D198">
        <v>0.55555555555555547</v>
      </c>
      <c r="E198">
        <v>0.38888888888888878</v>
      </c>
      <c r="F198">
        <v>0.80555555555555547</v>
      </c>
      <c r="G198">
        <v>0.38888888888888878</v>
      </c>
    </row>
    <row r="199" spans="1:7" x14ac:dyDescent="0.15">
      <c r="A199" t="str">
        <f>HYPERLINK("./new_k5/query_cmdrels_weight_analyze/0.2_0.1_0.7/au_86843.xlsx","au_86843")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HYPERLINK("./new_k5/query_cmdrels_weight_analyze/0.2_0.1_0.7/au_88108.xlsx","au_88108")</f>
        <v>au_88108</v>
      </c>
      <c r="B200">
        <v>0</v>
      </c>
      <c r="C200">
        <v>0</v>
      </c>
      <c r="D200">
        <v>0.1</v>
      </c>
      <c r="E200">
        <v>0</v>
      </c>
      <c r="F200">
        <v>0.1</v>
      </c>
      <c r="G200">
        <v>0.05</v>
      </c>
    </row>
    <row r="201" spans="1:7" x14ac:dyDescent="0.15">
      <c r="A201" t="str">
        <f>HYPERLINK("./new_k5/query_cmdrels_weight_analyze/0.2_0.1_0.7/au_90214.xlsx","au_90214")</f>
        <v>au_90214</v>
      </c>
      <c r="B201">
        <v>0</v>
      </c>
      <c r="C201">
        <v>0</v>
      </c>
      <c r="D201">
        <v>0.16666666666666671</v>
      </c>
      <c r="E201">
        <v>0.16666666666666671</v>
      </c>
      <c r="F201">
        <v>0.16666666666666671</v>
      </c>
      <c r="G201">
        <v>0.16666666666666671</v>
      </c>
    </row>
    <row r="202" spans="1:7" x14ac:dyDescent="0.15">
      <c r="A202" t="str">
        <f>HYPERLINK("./new_k5/query_cmdrels_weight_analyze/0.2_0.1_0.7/au_90339.xlsx","au_90339")</f>
        <v>au_90339</v>
      </c>
      <c r="B202">
        <v>0</v>
      </c>
      <c r="C202">
        <v>0.14285714285714279</v>
      </c>
      <c r="D202">
        <v>4.7619047619047623E-2</v>
      </c>
      <c r="E202">
        <v>0.23809523809523811</v>
      </c>
      <c r="F202">
        <v>0.2047619047619047</v>
      </c>
      <c r="G202">
        <v>0.23809523809523811</v>
      </c>
    </row>
    <row r="203" spans="1:7" x14ac:dyDescent="0.15">
      <c r="A203" t="str">
        <f>HYPERLINK("./new_k5/query_cmdrels_weight_analyze/0.2_0.1_0.7/au_91286.xlsx","au_91286")</f>
        <v>au_91286</v>
      </c>
      <c r="B203">
        <v>0.5</v>
      </c>
      <c r="C203">
        <v>0</v>
      </c>
      <c r="D203">
        <v>0.5</v>
      </c>
      <c r="E203">
        <v>0.16666666666666671</v>
      </c>
      <c r="F203">
        <v>0.5</v>
      </c>
      <c r="G203">
        <v>0.16666666666666671</v>
      </c>
    </row>
    <row r="204" spans="1:7" x14ac:dyDescent="0.15">
      <c r="A204" t="str">
        <f>HYPERLINK("./new_k5/query_cmdrels_weight_analyze/0.2_0.1_0.7/au_9135.xlsx","au_9135")</f>
        <v>au_9135</v>
      </c>
      <c r="B204">
        <v>0.1</v>
      </c>
      <c r="C204">
        <v>0</v>
      </c>
      <c r="D204">
        <v>0.16666666666666671</v>
      </c>
      <c r="E204">
        <v>0.1166666666666667</v>
      </c>
      <c r="F204">
        <v>0.24166666666666661</v>
      </c>
      <c r="G204">
        <v>0.19166666666666671</v>
      </c>
    </row>
    <row r="205" spans="1:7" x14ac:dyDescent="0.15">
      <c r="A205" t="str">
        <f>HYPERLINK("./new_k5/query_cmdrels_weight_analyze/0.2_0.1_0.7/au_935569.xlsx","au_935569")</f>
        <v>au_935569</v>
      </c>
      <c r="B205">
        <v>0.14285714285714279</v>
      </c>
      <c r="C205">
        <v>0.14285714285714279</v>
      </c>
      <c r="D205">
        <v>0.42857142857142849</v>
      </c>
      <c r="E205">
        <v>0.42857142857142849</v>
      </c>
      <c r="F205">
        <v>0.54285714285714282</v>
      </c>
      <c r="G205">
        <v>0.42857142857142849</v>
      </c>
    </row>
    <row r="206" spans="1:7" x14ac:dyDescent="0.15">
      <c r="A206" t="str">
        <f>HYPERLINK("./new_k5/query_cmdrels_weight_analyze/0.2_0.1_0.7/au_97936.xlsx","au_97936")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HYPERLINK("./new_k5/query_cmdrels_weight_analyze/0.2_0.1_0.7/so_10235778.xlsx","so_10235778")</f>
        <v>so_10235778</v>
      </c>
      <c r="B207">
        <v>0.25</v>
      </c>
      <c r="C207">
        <v>0.25</v>
      </c>
      <c r="D207">
        <v>0.5</v>
      </c>
      <c r="E207">
        <v>0.25</v>
      </c>
      <c r="F207">
        <v>0.5</v>
      </c>
      <c r="G207">
        <v>0.375</v>
      </c>
    </row>
    <row r="208" spans="1:7" x14ac:dyDescent="0.15">
      <c r="A208" t="str">
        <f>HYPERLINK("./new_k5/query_cmdrels_weight_analyze/0.2_0.1_0.7/so_1045910.xlsx","so_1045910")</f>
        <v>so_1045910</v>
      </c>
      <c r="B208">
        <v>0.25</v>
      </c>
      <c r="C208">
        <v>0.25</v>
      </c>
      <c r="D208">
        <v>0.25</v>
      </c>
      <c r="E208">
        <v>0.5</v>
      </c>
      <c r="F208">
        <v>0.25</v>
      </c>
      <c r="G208">
        <v>0.5</v>
      </c>
    </row>
    <row r="209" spans="1:7" x14ac:dyDescent="0.15">
      <c r="A209" t="str">
        <f>HYPERLINK("./new_k5/query_cmdrels_weight_analyze/0.2_0.1_0.7/so_10557360.xlsx","so_10557360")</f>
        <v>so_10557360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0.05</v>
      </c>
    </row>
    <row r="210" spans="1:7" x14ac:dyDescent="0.15">
      <c r="A210" t="str">
        <f>HYPERLINK("./new_k5/query_cmdrels_weight_analyze/0.2_0.1_0.7/so_1058047.xlsx","so_1058047")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0.35</v>
      </c>
    </row>
    <row r="211" spans="1:7" x14ac:dyDescent="0.15">
      <c r="A211" t="str">
        <f>HYPERLINK("./new_k5/query_cmdrels_weight_analyze/0.2_0.1_0.7/so_10829402.xlsx","so_10829402")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HYPERLINK("./new_k5/query_cmdrels_weight_analyze/0.2_0.1_0.7/so_1088098.xlsx","so_1088098")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0.375</v>
      </c>
    </row>
    <row r="213" spans="1:7" x14ac:dyDescent="0.15">
      <c r="A213" t="str">
        <f>HYPERLINK("./new_k5/query_cmdrels_weight_analyze/0.2_0.1_0.7/so_10990949.xlsx","so_10990949")</f>
        <v>so_10990949</v>
      </c>
      <c r="B213">
        <v>0.5</v>
      </c>
      <c r="C213">
        <v>0.5</v>
      </c>
      <c r="D213">
        <v>0.5</v>
      </c>
      <c r="E213">
        <v>1</v>
      </c>
      <c r="F213">
        <v>0.5</v>
      </c>
      <c r="G213">
        <v>1</v>
      </c>
    </row>
    <row r="214" spans="1:7" x14ac:dyDescent="0.15">
      <c r="A214" t="str">
        <f>HYPERLINK("./new_k5/query_cmdrels_weight_analyze/0.2_0.1_0.7/so_11211705.xlsx","so_11211705")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HYPERLINK("./new_k5/query_cmdrels_weight_analyze/0.2_0.1_0.7/so_112932.xlsx","so_112932")</f>
        <v>so_112932</v>
      </c>
      <c r="B215">
        <v>0</v>
      </c>
      <c r="C215">
        <v>0</v>
      </c>
      <c r="D215">
        <v>0.16666666666666671</v>
      </c>
      <c r="E215">
        <v>0.1111111111111111</v>
      </c>
      <c r="F215">
        <v>0.16666666666666671</v>
      </c>
      <c r="G215">
        <v>0.27777777777777768</v>
      </c>
    </row>
    <row r="216" spans="1:7" x14ac:dyDescent="0.15">
      <c r="A216" t="str">
        <f>HYPERLINK("./new_k5/query_cmdrels_weight_analyze/0.2_0.1_0.7/so_11392189.xlsx","so_11392189")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8.3333333333333329E-2</v>
      </c>
    </row>
    <row r="217" spans="1:7" x14ac:dyDescent="0.15">
      <c r="A217" t="str">
        <f>HYPERLINK("./new_k5/query_cmdrels_weight_analyze/0.2_0.1_0.7/so_1183183.xlsx","so_1183183")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HYPERLINK("./new_k5/query_cmdrels_weight_analyze/0.2_0.1_0.7/so_1194882.xlsx","so_1194882")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HYPERLINK("./new_k5/query_cmdrels_weight_analyze/0.2_0.1_0.7/so_12120935.xlsx","so_12120935")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HYPERLINK("./new_k5/query_cmdrels_weight_analyze/0.2_0.1_0.7/so_12313384.xlsx","so_12313384")</f>
        <v>so_12313384</v>
      </c>
      <c r="B220">
        <v>0</v>
      </c>
      <c r="C220">
        <v>0</v>
      </c>
      <c r="D220">
        <v>0.16666666666666671</v>
      </c>
      <c r="E220">
        <v>0.16666666666666671</v>
      </c>
      <c r="F220">
        <v>0.16666666666666671</v>
      </c>
      <c r="G220">
        <v>0.33333333333333331</v>
      </c>
    </row>
    <row r="221" spans="1:7" x14ac:dyDescent="0.15">
      <c r="A221" t="str">
        <f>HYPERLINK("./new_k5/query_cmdrels_weight_analyze/0.2_0.1_0.7/so_12392598.xlsx","so_12392598")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HYPERLINK("./new_k5/query_cmdrels_weight_analyze/0.2_0.1_0.7/so_1241801.xlsx","so_1241801")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HYPERLINK("./new_k5/query_cmdrels_weight_analyze/0.2_0.1_0.7/so_12522269.xlsx","so_12522269")</f>
        <v>so_12522269</v>
      </c>
      <c r="B223">
        <v>0.2</v>
      </c>
      <c r="C223">
        <v>0</v>
      </c>
      <c r="D223">
        <v>0.2</v>
      </c>
      <c r="E223">
        <v>0.23333333333333331</v>
      </c>
      <c r="F223">
        <v>0.28000000000000003</v>
      </c>
      <c r="G223">
        <v>0.23333333333333331</v>
      </c>
    </row>
    <row r="224" spans="1:7" x14ac:dyDescent="0.15">
      <c r="A224" t="str">
        <f>HYPERLINK("./new_k5/query_cmdrels_weight_analyze/0.2_0.1_0.7/so_1293907.xlsx","so_1293907")</f>
        <v>so_1293907</v>
      </c>
      <c r="B224">
        <v>0</v>
      </c>
      <c r="C224">
        <v>0</v>
      </c>
      <c r="D224">
        <v>0</v>
      </c>
      <c r="E224">
        <v>0.16666666666666671</v>
      </c>
      <c r="F224">
        <v>8.3333333333333329E-2</v>
      </c>
      <c r="G224">
        <v>0.33333333333333331</v>
      </c>
    </row>
    <row r="225" spans="1:7" x14ac:dyDescent="0.15">
      <c r="A225" t="str">
        <f>HYPERLINK("./new_k5/query_cmdrels_weight_analyze/0.2_0.1_0.7/so_13428910.xlsx","so_13428910")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HYPERLINK("./new_k5/query_cmdrels_weight_analyze/0.2_0.1_0.7/so_135688.xlsx","so_135688")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HYPERLINK("./new_k5/query_cmdrels_weight_analyze/0.2_0.1_0.7/so_13778273.xlsx","so_13778273")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HYPERLINK("./new_k5/query_cmdrels_weight_analyze/0.2_0.1_0.7/so_1405611.xlsx","so_1405611")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</v>
      </c>
      <c r="F228">
        <v>0.33333333333333331</v>
      </c>
      <c r="G228">
        <v>8.3333333333333329E-2</v>
      </c>
    </row>
    <row r="229" spans="1:7" x14ac:dyDescent="0.15">
      <c r="A229" t="str">
        <f>HYPERLINK("./new_k5/query_cmdrels_weight_analyze/0.2_0.1_0.7/so_14300794.xlsx","so_14300794")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0.6333333333333333</v>
      </c>
    </row>
    <row r="230" spans="1:7" x14ac:dyDescent="0.15">
      <c r="A230" t="str">
        <f>HYPERLINK("./new_k5/query_cmdrels_weight_analyze/0.2_0.1_0.7/so_143791.xlsx","so_143791")</f>
        <v>so_143791</v>
      </c>
      <c r="B230">
        <v>0.125</v>
      </c>
      <c r="C230">
        <v>0.125</v>
      </c>
      <c r="D230">
        <v>0.375</v>
      </c>
      <c r="E230">
        <v>0.375</v>
      </c>
      <c r="F230">
        <v>0.375</v>
      </c>
      <c r="G230">
        <v>0.375</v>
      </c>
    </row>
    <row r="231" spans="1:7" x14ac:dyDescent="0.15">
      <c r="A231" t="str">
        <f>HYPERLINK("./new_k5/query_cmdrels_weight_analyze/0.2_0.1_0.7/so_14750650.xlsx","so_14750650")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15">
      <c r="A232" t="str">
        <f>HYPERLINK("./new_k5/query_cmdrels_weight_analyze/0.2_0.1_0.7/so_14978411.xlsx","so_14978411")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HYPERLINK("./new_k5/query_cmdrels_weight_analyze/0.2_0.1_0.7/so_15236308.xlsx","so_15236308")</f>
        <v>so_15236308</v>
      </c>
      <c r="B233">
        <v>0.25</v>
      </c>
      <c r="C233">
        <v>0.25</v>
      </c>
      <c r="D233">
        <v>0.25</v>
      </c>
      <c r="E233">
        <v>0.5</v>
      </c>
      <c r="F233">
        <v>0.25</v>
      </c>
      <c r="G233">
        <v>0.5</v>
      </c>
    </row>
    <row r="234" spans="1:7" x14ac:dyDescent="0.15">
      <c r="A234" t="str">
        <f>HYPERLINK("./new_k5/query_cmdrels_weight_analyze/0.2_0.1_0.7/so_15286947.xlsx","so_15286947")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HYPERLINK("./new_k5/query_cmdrels_weight_analyze/0.2_0.1_0.7/so_15402770.xlsx","so_15402770")</f>
        <v>so_15402770</v>
      </c>
      <c r="B235">
        <v>0</v>
      </c>
      <c r="C235">
        <v>0</v>
      </c>
      <c r="D235">
        <v>0.19444444444444439</v>
      </c>
      <c r="E235">
        <v>0.19444444444444439</v>
      </c>
      <c r="F235">
        <v>0.19444444444444439</v>
      </c>
      <c r="G235">
        <v>0.31944444444444442</v>
      </c>
    </row>
    <row r="236" spans="1:7" x14ac:dyDescent="0.15">
      <c r="A236" t="str">
        <f>HYPERLINK("./new_k5/query_cmdrels_weight_analyze/0.2_0.1_0.7/so_1570262.xlsx","so_1570262")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0.13</v>
      </c>
    </row>
    <row r="237" spans="1:7" x14ac:dyDescent="0.15">
      <c r="A237" t="str">
        <f>HYPERLINK("./new_k5/query_cmdrels_weight_analyze/0.2_0.1_0.7/so_1583219.xlsx","so_1583219")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HYPERLINK("./new_k5/query_cmdrels_weight_analyze/0.2_0.1_0.7/so_15872543.xlsx","so_15872543")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HYPERLINK("./new_k5/query_cmdrels_weight_analyze/0.2_0.1_0.7/so_16038087.xlsx","so_16038087")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0.42857142857142849</v>
      </c>
    </row>
    <row r="240" spans="1:7" x14ac:dyDescent="0.15">
      <c r="A240" t="str">
        <f>HYPERLINK("./new_k5/query_cmdrels_weight_analyze/0.2_0.1_0.7/so_16212656.xlsx","so_16212656")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HYPERLINK("./new_k5/query_cmdrels_weight_analyze/0.2_0.1_0.7/so_16575419.xlsx","so_16575419")</f>
        <v>so_16575419</v>
      </c>
      <c r="B241">
        <v>0.25</v>
      </c>
      <c r="C241">
        <v>0.25</v>
      </c>
      <c r="D241">
        <v>0.25</v>
      </c>
      <c r="E241">
        <v>0.5</v>
      </c>
      <c r="F241">
        <v>0.25</v>
      </c>
      <c r="G241">
        <v>0.5</v>
      </c>
    </row>
    <row r="242" spans="1:7" x14ac:dyDescent="0.15">
      <c r="A242" t="str">
        <f>HYPERLINK("./new_k5/query_cmdrels_weight_analyze/0.2_0.1_0.7/so_17582768.xlsx","so_17582768")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0</v>
      </c>
    </row>
    <row r="243" spans="1:7" x14ac:dyDescent="0.15">
      <c r="A243" t="str">
        <f>HYPERLINK("./new_k5/query_cmdrels_weight_analyze/0.2_0.1_0.7/so_17607612.xlsx","so_17607612")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15">
      <c r="A244" t="str">
        <f>HYPERLINK("./new_k5/query_cmdrels_weight_analyze/0.2_0.1_0.7/so_17829785.xlsx","so_17829785")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HYPERLINK("./new_k5/query_cmdrels_weight_analyze/0.2_0.1_0.7/so_1839841.xlsx","so_1839841")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HYPERLINK("./new_k5/query_cmdrels_weight_analyze/0.2_0.1_0.7/so_18468716.xlsx","so_18468716")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0.33333333333333331</v>
      </c>
    </row>
    <row r="247" spans="1:7" x14ac:dyDescent="0.15">
      <c r="A247" t="str">
        <f>HYPERLINK("./new_k5/query_cmdrels_weight_analyze/0.2_0.1_0.7/so_19196105.xlsx","so_19196105")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HYPERLINK("./new_k5/query_cmdrels_weight_analyze/0.2_0.1_0.7/so_19482123.xlsx","so_19482123")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HYPERLINK("./new_k5/query_cmdrels_weight_analyze/0.2_0.1_0.7/so_1975849.xlsx","so_1975849")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HYPERLINK("./new_k5/query_cmdrels_weight_analyze/0.2_0.1_0.7/so_212528.xlsx","so_212528")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0.33333333333333331</v>
      </c>
    </row>
    <row r="251" spans="1:7" x14ac:dyDescent="0.15">
      <c r="A251" t="str">
        <f>HYPERLINK("./new_k5/query_cmdrels_weight_analyze/0.2_0.1_0.7/so_21620406.xlsx","so_21620406")</f>
        <v>so_21620406</v>
      </c>
      <c r="B251">
        <v>0</v>
      </c>
      <c r="C251">
        <v>0</v>
      </c>
      <c r="D251">
        <v>0.1111111111111111</v>
      </c>
      <c r="E251">
        <v>0.1111111111111111</v>
      </c>
      <c r="F251">
        <v>0.1111111111111111</v>
      </c>
      <c r="G251">
        <v>0.1111111111111111</v>
      </c>
    </row>
    <row r="252" spans="1:7" x14ac:dyDescent="0.15">
      <c r="A252" t="str">
        <f>HYPERLINK("./new_k5/query_cmdrels_weight_analyze/0.2_0.1_0.7/so_23509348.xlsx","so_23509348")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HYPERLINK("./new_k5/query_cmdrels_weight_analyze/0.2_0.1_0.7/so_24058544.xlsx","so_24058544")</f>
        <v>so_24058544</v>
      </c>
      <c r="B253">
        <v>0.2</v>
      </c>
      <c r="C253">
        <v>0</v>
      </c>
      <c r="D253">
        <v>0.2</v>
      </c>
      <c r="E253">
        <v>6.6666666666666666E-2</v>
      </c>
      <c r="F253">
        <v>0.2</v>
      </c>
      <c r="G253">
        <v>6.6666666666666666E-2</v>
      </c>
    </row>
    <row r="254" spans="1:7" x14ac:dyDescent="0.15">
      <c r="A254" t="str">
        <f>HYPERLINK("./new_k5/query_cmdrels_weight_analyze/0.2_0.1_0.7/so_24283097.xlsx","so_24283097")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HYPERLINK("./new_k5/query_cmdrels_weight_analyze/0.2_0.1_0.7/so_26256279.xlsx","so_26256279")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0.66666666666666663</v>
      </c>
      <c r="F255">
        <v>0.33333333333333331</v>
      </c>
      <c r="G255">
        <v>0.66666666666666663</v>
      </c>
    </row>
    <row r="256" spans="1:7" x14ac:dyDescent="0.15">
      <c r="A256" t="str">
        <f>HYPERLINK("./new_k5/query_cmdrels_weight_analyze/0.2_0.1_0.7/so_26331651.xlsx","so_26331651")</f>
        <v>so_26331651</v>
      </c>
      <c r="B256">
        <v>0</v>
      </c>
      <c r="C256">
        <v>0</v>
      </c>
      <c r="D256">
        <v>0</v>
      </c>
      <c r="E256">
        <v>7.1428571428571425E-2</v>
      </c>
      <c r="F256">
        <v>0</v>
      </c>
      <c r="G256">
        <v>0.14285714285714279</v>
      </c>
    </row>
    <row r="257" spans="1:7" x14ac:dyDescent="0.15">
      <c r="A257" t="str">
        <f>HYPERLINK("./new_k5/query_cmdrels_weight_analyze/0.2_0.1_0.7/so_26988262.xlsx","so_26988262")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HYPERLINK("./new_k5/query_cmdrels_weight_analyze/0.2_0.1_0.7/so_27238411.xlsx","so_27238411")</f>
        <v>so_27238411</v>
      </c>
      <c r="B258">
        <v>0.2</v>
      </c>
      <c r="C258">
        <v>0.2</v>
      </c>
      <c r="D258">
        <v>0.6</v>
      </c>
      <c r="E258">
        <v>0.33333333333333331</v>
      </c>
      <c r="F258">
        <v>0.6</v>
      </c>
      <c r="G258">
        <v>0.48333333333333328</v>
      </c>
    </row>
    <row r="259" spans="1:7" x14ac:dyDescent="0.15">
      <c r="A259" t="str">
        <f>HYPERLINK("./new_k5/query_cmdrels_weight_analyze/0.2_0.1_0.7/so_27943059.xlsx","so_27943059")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0.55555555555555547</v>
      </c>
      <c r="F259">
        <v>0.16666666666666671</v>
      </c>
      <c r="G259">
        <v>0.55555555555555547</v>
      </c>
    </row>
    <row r="260" spans="1:7" x14ac:dyDescent="0.15">
      <c r="A260" t="str">
        <f>HYPERLINK("./new_k5/query_cmdrels_weight_analyze/0.2_0.1_0.7/so_28869004.xlsx","so_28869004")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HYPERLINK("./new_k5/query_cmdrels_weight_analyze/0.2_0.1_0.7/so_2973624.xlsx","so_2973624")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0.55555555555555547</v>
      </c>
      <c r="F261">
        <v>0.66666666666666663</v>
      </c>
      <c r="G261">
        <v>0.80555555555555547</v>
      </c>
    </row>
    <row r="262" spans="1:7" x14ac:dyDescent="0.15">
      <c r="A262" t="str">
        <f>HYPERLINK("./new_k5/query_cmdrels_weight_analyze/0.2_0.1_0.7/so_30177455.xlsx","so_30177455")</f>
        <v>so_30177455</v>
      </c>
      <c r="B262">
        <v>0</v>
      </c>
      <c r="C262">
        <v>0</v>
      </c>
      <c r="D262">
        <v>0.16666666666666671</v>
      </c>
      <c r="E262">
        <v>0.1111111111111111</v>
      </c>
      <c r="F262">
        <v>0.16666666666666671</v>
      </c>
      <c r="G262">
        <v>0.1111111111111111</v>
      </c>
    </row>
    <row r="263" spans="1:7" x14ac:dyDescent="0.15">
      <c r="A263" t="str">
        <f>HYPERLINK("./new_k5/query_cmdrels_weight_analyze/0.2_0.1_0.7/so_30251889.xlsx","so_30251889")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0.47916666666666657</v>
      </c>
    </row>
    <row r="264" spans="1:7" x14ac:dyDescent="0.15">
      <c r="A264" t="str">
        <f>HYPERLINK("./new_k5/query_cmdrels_weight_analyze/0.2_0.1_0.7/so_305035.xlsx","so_305035")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HYPERLINK("./new_k5/query_cmdrels_weight_analyze/0.2_0.1_0.7/so_36249744.xlsx","so_36249744")</f>
        <v>so_36249744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</row>
    <row r="266" spans="1:7" x14ac:dyDescent="0.15">
      <c r="A266" t="str">
        <f>HYPERLINK("./new_k5/query_cmdrels_weight_analyze/0.2_0.1_0.7/so_3643848.xlsx","so_3643848")</f>
        <v>so_3643848</v>
      </c>
      <c r="B266">
        <v>0.5</v>
      </c>
      <c r="C266">
        <v>0.5</v>
      </c>
      <c r="D266">
        <v>1</v>
      </c>
      <c r="E266">
        <v>0.5</v>
      </c>
      <c r="F266">
        <v>1</v>
      </c>
      <c r="G266">
        <v>0.7</v>
      </c>
    </row>
    <row r="267" spans="1:7" x14ac:dyDescent="0.15">
      <c r="A267" t="str">
        <f>HYPERLINK("./new_k5/query_cmdrels_weight_analyze/0.2_0.1_0.7/so_3667329.xlsx","so_3667329")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0.33333333333333331</v>
      </c>
    </row>
    <row r="268" spans="1:7" x14ac:dyDescent="0.15">
      <c r="A268" t="str">
        <f>HYPERLINK("./new_k5/query_cmdrels_weight_analyze/0.2_0.1_0.7/so_369758.xlsx","so_369758")</f>
        <v>so_369758</v>
      </c>
      <c r="B268">
        <v>0.2</v>
      </c>
      <c r="C268">
        <v>0.2</v>
      </c>
      <c r="D268">
        <v>0.4</v>
      </c>
      <c r="E268">
        <v>0.6</v>
      </c>
      <c r="F268">
        <v>0.4</v>
      </c>
      <c r="G268">
        <v>0.6</v>
      </c>
    </row>
    <row r="269" spans="1:7" x14ac:dyDescent="0.15">
      <c r="A269" t="str">
        <f>HYPERLINK("./new_k5/query_cmdrels_weight_analyze/0.2_0.1_0.7/so_3756323.xlsx","so_3756323")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0.75</v>
      </c>
    </row>
    <row r="270" spans="1:7" x14ac:dyDescent="0.15">
      <c r="A270" t="str">
        <f>HYPERLINK("./new_k5/query_cmdrels_weight_analyze/0.2_0.1_0.7/so_3767267.xlsx","so_3767267")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HYPERLINK("./new_k5/query_cmdrels_weight_analyze/0.2_0.1_0.7/so_3833578.xlsx","so_3833578")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0.55555555555555547</v>
      </c>
      <c r="F271">
        <v>0.33333333333333331</v>
      </c>
      <c r="G271">
        <v>0.55555555555555547</v>
      </c>
    </row>
    <row r="272" spans="1:7" x14ac:dyDescent="0.15">
      <c r="A272" t="str">
        <f>HYPERLINK("./new_k5/query_cmdrels_weight_analyze/0.2_0.1_0.7/so_3891076.xlsx","so_3891076")</f>
        <v>so_3891076</v>
      </c>
      <c r="B272">
        <v>0.25</v>
      </c>
      <c r="C272">
        <v>0</v>
      </c>
      <c r="D272">
        <v>0.25</v>
      </c>
      <c r="E272">
        <v>0.125</v>
      </c>
      <c r="F272">
        <v>0.25</v>
      </c>
      <c r="G272">
        <v>0.22500000000000001</v>
      </c>
    </row>
    <row r="273" spans="1:7" x14ac:dyDescent="0.15">
      <c r="A273" t="str">
        <f>HYPERLINK("./new_k5/query_cmdrels_weight_analyze/0.2_0.1_0.7/so_3963085.xlsx","so_3963085")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HYPERLINK("./new_k5/query_cmdrels_weight_analyze/0.2_0.1_0.7/so_4325216.xlsx","so_4325216")</f>
        <v>so_4325216</v>
      </c>
      <c r="B274">
        <v>0.5</v>
      </c>
      <c r="C274">
        <v>0.5</v>
      </c>
      <c r="D274">
        <v>0.5</v>
      </c>
      <c r="E274">
        <v>0.83333333333333326</v>
      </c>
      <c r="F274">
        <v>0.5</v>
      </c>
      <c r="G274">
        <v>0.83333333333333326</v>
      </c>
    </row>
    <row r="275" spans="1:7" x14ac:dyDescent="0.15">
      <c r="A275" t="str">
        <f>HYPERLINK("./new_k5/query_cmdrels_weight_analyze/0.2_0.1_0.7/so_448005.xlsx","so_448005")</f>
        <v>so_448005</v>
      </c>
      <c r="B275">
        <v>1</v>
      </c>
      <c r="C275">
        <v>0</v>
      </c>
      <c r="D275">
        <v>1</v>
      </c>
      <c r="E275">
        <v>0.33333333333333331</v>
      </c>
      <c r="F275">
        <v>1</v>
      </c>
      <c r="G275">
        <v>0.33333333333333331</v>
      </c>
    </row>
    <row r="276" spans="1:7" x14ac:dyDescent="0.15">
      <c r="A276" t="str">
        <f>HYPERLINK("./new_k5/query_cmdrels_weight_analyze/0.2_0.1_0.7/so_4921879.xlsx","so_4921879")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HYPERLINK("./new_k5/query_cmdrels_weight_analyze/0.2_0.1_0.7/so_4922943.xlsx","so_4922943")</f>
        <v>so_4922943</v>
      </c>
      <c r="B277">
        <v>0.2</v>
      </c>
      <c r="C277">
        <v>0</v>
      </c>
      <c r="D277">
        <v>0.33333333333333331</v>
      </c>
      <c r="E277">
        <v>0.1</v>
      </c>
      <c r="F277">
        <v>0.33333333333333331</v>
      </c>
      <c r="G277">
        <v>0.32</v>
      </c>
    </row>
    <row r="278" spans="1:7" x14ac:dyDescent="0.15">
      <c r="A278" t="str">
        <f>HYPERLINK("./new_k5/query_cmdrels_weight_analyze/0.2_0.1_0.7/so_5119946.xlsx","so_5119946")</f>
        <v>so_5119946</v>
      </c>
      <c r="B278">
        <v>0.5</v>
      </c>
      <c r="C278">
        <v>0</v>
      </c>
      <c r="D278">
        <v>0.5</v>
      </c>
      <c r="E278">
        <v>0.25</v>
      </c>
      <c r="F278">
        <v>0.5</v>
      </c>
      <c r="G278">
        <v>0.25</v>
      </c>
    </row>
    <row r="279" spans="1:7" x14ac:dyDescent="0.15">
      <c r="A279" t="str">
        <f>HYPERLINK("./new_k5/query_cmdrels_weight_analyze/0.2_0.1_0.7/so_5164985.xlsx","so_5164985")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HYPERLINK("./new_k5/query_cmdrels_weight_analyze/0.2_0.1_0.7/so_5306153.xlsx","so_5306153")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HYPERLINK("./new_k5/query_cmdrels_weight_analyze/0.2_0.1_0.7/so_5566310.xlsx","so_5566310")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HYPERLINK("./new_k5/query_cmdrels_weight_analyze/0.2_0.1_0.7/so_5927369.xlsx","so_5927369")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HYPERLINK("./new_k5/query_cmdrels_weight_analyze/0.2_0.1_0.7/so_5947742.xlsx","so_5947742")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0.55555555555555547</v>
      </c>
      <c r="F283">
        <v>0.55555555555555547</v>
      </c>
      <c r="G283">
        <v>0.55555555555555547</v>
      </c>
    </row>
    <row r="284" spans="1:7" x14ac:dyDescent="0.15">
      <c r="A284" t="str">
        <f>HYPERLINK("./new_k5/query_cmdrels_weight_analyze/0.2_0.1_0.7/so_614795.xlsx","so_614795")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HYPERLINK("./new_k5/query_cmdrels_weight_analyze/0.2_0.1_0.7/so_6207573.xlsx","so_6207573")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0.42857142857142849</v>
      </c>
      <c r="F285">
        <v>0.37142857142857139</v>
      </c>
      <c r="G285">
        <v>0.54285714285714282</v>
      </c>
    </row>
    <row r="286" spans="1:7" x14ac:dyDescent="0.15">
      <c r="A286" t="str">
        <f>HYPERLINK("./new_k5/query_cmdrels_weight_analyze/0.2_0.1_0.7/so_6283167.xlsx","so_6283167")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HYPERLINK("./new_k5/query_cmdrels_weight_analyze/0.2_0.1_0.7/so_6329505.xlsx","so_6329505")</f>
        <v>so_6329505</v>
      </c>
      <c r="B287">
        <v>0</v>
      </c>
      <c r="C287">
        <v>0</v>
      </c>
      <c r="D287">
        <v>0.1</v>
      </c>
      <c r="E287">
        <v>6.6666666666666666E-2</v>
      </c>
      <c r="F287">
        <v>0.18</v>
      </c>
      <c r="G287">
        <v>6.6666666666666666E-2</v>
      </c>
    </row>
    <row r="288" spans="1:7" x14ac:dyDescent="0.15">
      <c r="A288" t="str">
        <f>HYPERLINK("./new_k5/query_cmdrels_weight_analyze/0.2_0.1_0.7/so_6423532.xlsx","so_6423532")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HYPERLINK("./new_k5/query_cmdrels_weight_analyze/0.2_0.1_0.7/so_669438.xlsx","so_669438")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0.48333333333333328</v>
      </c>
    </row>
    <row r="290" spans="1:7" x14ac:dyDescent="0.15">
      <c r="A290" t="str">
        <f>HYPERLINK("./new_k5/query_cmdrels_weight_analyze/0.2_0.1_0.7/so_7052875.xlsx","so_7052875")</f>
        <v>so_7052875</v>
      </c>
      <c r="B290">
        <v>0.2</v>
      </c>
      <c r="C290">
        <v>0.2</v>
      </c>
      <c r="D290">
        <v>0.2</v>
      </c>
      <c r="E290">
        <v>0.2</v>
      </c>
      <c r="F290">
        <v>0.2</v>
      </c>
      <c r="G290">
        <v>0.2</v>
      </c>
    </row>
    <row r="291" spans="1:7" x14ac:dyDescent="0.15">
      <c r="A291" t="str">
        <f>HYPERLINK("./new_k5/query_cmdrels_weight_analyze/0.2_0.1_0.7/so_7221757.xlsx","so_7221757")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HYPERLINK("./new_k5/query_cmdrels_weight_analyze/0.2_0.1_0.7/so_750604.xlsx","so_750604")</f>
        <v>so_750604</v>
      </c>
      <c r="B292">
        <v>0</v>
      </c>
      <c r="C292">
        <v>0</v>
      </c>
      <c r="D292">
        <v>0.1111111111111111</v>
      </c>
      <c r="E292">
        <v>0.16666666666666671</v>
      </c>
      <c r="F292">
        <v>0.1111111111111111</v>
      </c>
      <c r="G292">
        <v>0.33333333333333331</v>
      </c>
    </row>
    <row r="293" spans="1:7" x14ac:dyDescent="0.15">
      <c r="A293" t="str">
        <f>HYPERLINK("./new_k5/query_cmdrels_weight_analyze/0.2_0.1_0.7/so_7575267.xlsx","so_7575267")</f>
        <v>so_7575267</v>
      </c>
      <c r="B293">
        <v>0</v>
      </c>
      <c r="C293">
        <v>0.25</v>
      </c>
      <c r="D293">
        <v>0</v>
      </c>
      <c r="E293">
        <v>0.41666666666666657</v>
      </c>
      <c r="F293">
        <v>0</v>
      </c>
      <c r="G293">
        <v>0.41666666666666657</v>
      </c>
    </row>
    <row r="294" spans="1:7" x14ac:dyDescent="0.15">
      <c r="A294" t="str">
        <f>HYPERLINK("./new_k5/query_cmdrels_weight_analyze/0.2_0.1_0.7/so_7698488.xlsx","so_7698488")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15">
      <c r="A295" t="str">
        <f>HYPERLINK("./new_k5/query_cmdrels_weight_analyze/0.2_0.1_0.7/so_801095.xlsx","so_801095")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0.55555555555555547</v>
      </c>
      <c r="F295">
        <v>0.33333333333333331</v>
      </c>
      <c r="G295">
        <v>0.55555555555555547</v>
      </c>
    </row>
    <row r="296" spans="1:7" x14ac:dyDescent="0.15">
      <c r="A296" t="str">
        <f>HYPERLINK("./new_k5/query_cmdrels_weight_analyze/0.2_0.1_0.7/so_8249705.xlsx","so_8249705")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HYPERLINK("./new_k5/query_cmdrels_weight_analyze/0.2_0.1_0.7/so_8423541.xlsx","so_8423541")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HYPERLINK("./new_k5/query_cmdrels_weight_analyze/0.2_0.1_0.7/so_8654051.xlsx","so_8654051")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HYPERLINK("./new_k5/query_cmdrels_weight_analyze/0.2_0.1_0.7/so_890262.xlsx","so_890262")</f>
        <v>so_890262</v>
      </c>
      <c r="B299">
        <v>0</v>
      </c>
      <c r="C299">
        <v>0</v>
      </c>
      <c r="D299">
        <v>0</v>
      </c>
      <c r="E299">
        <v>0.38888888888888878</v>
      </c>
      <c r="F299">
        <v>0</v>
      </c>
      <c r="G299">
        <v>0.38888888888888878</v>
      </c>
    </row>
    <row r="300" spans="1:7" x14ac:dyDescent="0.15">
      <c r="A300" t="str">
        <f>HYPERLINK("./new_k5/query_cmdrels_weight_analyze/0.2_0.1_0.7/so_893585.xlsx","so_893585")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HYPERLINK("./new_k5/query_cmdrels_weight_analyze/0.2_0.1_0.7/so_9223460.xlsx","so_9223460")</f>
        <v>so_9223460</v>
      </c>
      <c r="B301">
        <v>0.33333333333333331</v>
      </c>
      <c r="C301">
        <v>0.33333333333333331</v>
      </c>
      <c r="D301">
        <v>0.33333333333333331</v>
      </c>
      <c r="E301">
        <v>0.33333333333333331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HYPERLINK("./new_k5/query_cmdrels_weight_analyze/0.2_0.1_0.7/so_9245638.xlsx","so_9245638")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0.55555555555555547</v>
      </c>
      <c r="F302">
        <v>0.55555555555555547</v>
      </c>
      <c r="G302">
        <v>0.55555555555555547</v>
      </c>
    </row>
    <row r="303" spans="1:7" x14ac:dyDescent="0.15">
      <c r="A303" t="str">
        <f>HYPERLINK("./new_k5/query_cmdrels_weight_analyze/0.2_0.1_0.7/so_9304953.xlsx","so_9304953")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HYPERLINK("./new_k5/query_cmdrels_weight_analyze/0.2_0.1_0.7/so_9361816.xlsx","so_9361816")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HYPERLINK("./new_k5/query_cmdrels_weight_analyze/0.2_0.1_0.7/su_116617.xlsx","su_116617")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HYPERLINK("./new_k5/query_cmdrels_weight_analyze/0.2_0.1_0.7/su_120045.xlsx","su_120045")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HYPERLINK("./new_k5/query_cmdrels_weight_analyze/0.2_0.1_0.7/su_127863.xlsx","su_127863")</f>
        <v>su_127863</v>
      </c>
      <c r="B307">
        <v>0</v>
      </c>
      <c r="C307">
        <v>0</v>
      </c>
      <c r="D307">
        <v>0.25</v>
      </c>
      <c r="E307">
        <v>0</v>
      </c>
      <c r="F307">
        <v>0.25</v>
      </c>
      <c r="G307">
        <v>0</v>
      </c>
    </row>
    <row r="308" spans="1:7" x14ac:dyDescent="0.15">
      <c r="A308" t="str">
        <f>HYPERLINK("./new_k5/query_cmdrels_weight_analyze/0.2_0.1_0.7/su_135498.xlsx","su_135498")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HYPERLINK("./new_k5/query_cmdrels_weight_analyze/0.2_0.1_0.7/su_147027.xlsx","su_147027")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0.25</v>
      </c>
    </row>
    <row r="310" spans="1:7" x14ac:dyDescent="0.15">
      <c r="A310" t="str">
        <f>HYPERLINK("./new_k5/query_cmdrels_weight_analyze/0.2_0.1_0.7/su_151911.xlsx","su_151911")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15">
      <c r="A311" t="str">
        <f>HYPERLINK("./new_k5/query_cmdrels_weight_analyze/0.2_0.1_0.7/su_153415.xlsx","su_153415")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HYPERLINK("./new_k5/query_cmdrels_weight_analyze/0.2_0.1_0.7/su_156189.xlsx","su_156189")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0.40277777777777768</v>
      </c>
    </row>
    <row r="313" spans="1:7" x14ac:dyDescent="0.15">
      <c r="A313" t="str">
        <f>HYPERLINK("./new_k5/query_cmdrels_weight_analyze/0.2_0.1_0.7/su_161531.xlsx","su_161531")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HYPERLINK("./new_k5/query_cmdrels_weight_analyze/0.2_0.1_0.7/su_204209.xlsx","su_204209")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HYPERLINK("./new_k5/query_cmdrels_weight_analyze/0.2_0.1_0.7/su_214390.xlsx","su_214390")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HYPERLINK("./new_k5/query_cmdrels_weight_analyze/0.2_0.1_0.7/su_215483.xlsx","su_215483")</f>
        <v>su_215483</v>
      </c>
      <c r="B316">
        <v>0.5</v>
      </c>
      <c r="C316">
        <v>0.5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HYPERLINK("./new_k5/query_cmdrels_weight_analyze/0.2_0.1_0.7/su_215504.xlsx","su_215504")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0.44166666666666671</v>
      </c>
    </row>
    <row r="318" spans="1:7" x14ac:dyDescent="0.15">
      <c r="A318" t="str">
        <f>HYPERLINK("./new_k5/query_cmdrels_weight_analyze/0.2_0.1_0.7/su_227385.xlsx","su_227385")</f>
        <v>su_227385</v>
      </c>
      <c r="B318">
        <v>0</v>
      </c>
      <c r="C318">
        <v>0</v>
      </c>
      <c r="D318">
        <v>0</v>
      </c>
      <c r="E318">
        <v>0.125</v>
      </c>
      <c r="F318">
        <v>0</v>
      </c>
      <c r="G318">
        <v>0.25</v>
      </c>
    </row>
    <row r="319" spans="1:7" x14ac:dyDescent="0.15">
      <c r="A319" t="str">
        <f>HYPERLINK("./new_k5/query_cmdrels_weight_analyze/0.2_0.1_0.7/su_273254.xlsx","su_273254")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HYPERLINK("./new_k5/query_cmdrels_weight_analyze/0.2_0.1_0.7/su_294161.xlsx","su_294161")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HYPERLINK("./new_k5/query_cmdrels_weight_analyze/0.2_0.1_0.7/su_302396.xlsx","su_302396")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HYPERLINK("./new_k5/query_cmdrels_weight_analyze/0.2_0.1_0.7/su_303981.xlsx","su_303981")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0.5</v>
      </c>
      <c r="F322">
        <v>0.5</v>
      </c>
      <c r="G322">
        <v>0.5</v>
      </c>
    </row>
    <row r="323" spans="1:7" x14ac:dyDescent="0.15">
      <c r="A323" t="str">
        <f>HYPERLINK("./new_k5/query_cmdrels_weight_analyze/0.2_0.1_0.7/su_305128.xlsx","su_305128")</f>
        <v>su_305128</v>
      </c>
      <c r="B323">
        <v>0.5</v>
      </c>
      <c r="C323">
        <v>0.5</v>
      </c>
      <c r="D323">
        <v>1</v>
      </c>
      <c r="E323">
        <v>0.83333333333333326</v>
      </c>
      <c r="F323">
        <v>1</v>
      </c>
      <c r="G323">
        <v>0.83333333333333326</v>
      </c>
    </row>
    <row r="324" spans="1:7" x14ac:dyDescent="0.15">
      <c r="A324" t="str">
        <f>HYPERLINK("./new_k5/query_cmdrels_weight_analyze/0.2_0.1_0.7/su_31512.xlsx","su_31512")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HYPERLINK("./new_k5/query_cmdrels_weight_analyze/0.2_0.1_0.7/su_380520.xlsx","su_380520")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0.33333333333333331</v>
      </c>
    </row>
    <row r="326" spans="1:7" x14ac:dyDescent="0.15">
      <c r="A326" t="str">
        <f>HYPERLINK("./new_k5/query_cmdrels_weight_analyze/0.2_0.1_0.7/su_38981.xlsx","su_38981")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HYPERLINK("./new_k5/query_cmdrels_weight_analyze/0.2_0.1_0.7/su_437330.xlsx","su_437330")</f>
        <v>su_437330</v>
      </c>
      <c r="B327">
        <v>0.33333333333333331</v>
      </c>
      <c r="C327">
        <v>0</v>
      </c>
      <c r="D327">
        <v>0.33333333333333331</v>
      </c>
      <c r="E327">
        <v>0.16666666666666671</v>
      </c>
      <c r="F327">
        <v>0.33333333333333331</v>
      </c>
      <c r="G327">
        <v>0.16666666666666671</v>
      </c>
    </row>
    <row r="328" spans="1:7" x14ac:dyDescent="0.15">
      <c r="A328" t="str">
        <f>HYPERLINK("./new_k5/query_cmdrels_weight_analyze/0.2_0.1_0.7/su_441379.xlsx","su_441379")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HYPERLINK("./new_k5/query_cmdrels_weight_analyze/0.2_0.1_0.7/su_462788.xlsx","su_462788")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0.1851851851851852</v>
      </c>
      <c r="F329">
        <v>0.30555555555555558</v>
      </c>
      <c r="G329">
        <v>0.26851851851851849</v>
      </c>
    </row>
    <row r="330" spans="1:7" x14ac:dyDescent="0.15">
      <c r="A330" t="str">
        <f>HYPERLINK("./new_k5/query_cmdrels_weight_analyze/0.2_0.1_0.7/su_626606.xlsx","su_626606")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0.66666666666666663</v>
      </c>
    </row>
    <row r="331" spans="1:7" x14ac:dyDescent="0.15">
      <c r="A331" t="str">
        <f>HYPERLINK("./new_k5/query_cmdrels_weight_analyze/0.2_0.1_0.7/su_634469.xlsx","su_634469")</f>
        <v>su_634469</v>
      </c>
      <c r="B331">
        <v>0</v>
      </c>
      <c r="C331">
        <v>0.16666666666666671</v>
      </c>
      <c r="D331">
        <v>0</v>
      </c>
      <c r="E331">
        <v>0.27777777777777768</v>
      </c>
      <c r="F331">
        <v>0</v>
      </c>
      <c r="G331">
        <v>0.27777777777777768</v>
      </c>
    </row>
    <row r="332" spans="1:7" x14ac:dyDescent="0.15">
      <c r="A332" t="str">
        <f>HYPERLINK("./new_k5/query_cmdrels_weight_analyze/0.2_0.1_0.7/su_638616.xlsx","su_638616")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HYPERLINK("./new_k5/query_cmdrels_weight_analyze/0.2_0.1_0.7/su_678113.xlsx","su_678113")</f>
        <v>su_678113</v>
      </c>
      <c r="B333">
        <v>0</v>
      </c>
      <c r="C333">
        <v>0.5</v>
      </c>
      <c r="D333">
        <v>0</v>
      </c>
      <c r="E333">
        <v>0.83333333333333326</v>
      </c>
      <c r="F333">
        <v>0</v>
      </c>
      <c r="G333">
        <v>0.83333333333333326</v>
      </c>
    </row>
    <row r="334" spans="1:7" x14ac:dyDescent="0.15">
      <c r="A334" t="str">
        <f>HYPERLINK("./new_k5/query_cmdrels_weight_analyze/0.2_0.1_0.7/su_686394.xlsx","su_686394")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HYPERLINK("./new_k5/query_cmdrels_weight_analyze/0.2_0.1_0.7/su_716795.xlsx","su_716795")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</v>
      </c>
    </row>
    <row r="336" spans="1:7" x14ac:dyDescent="0.15">
      <c r="A336" t="str">
        <f>HYPERLINK("./new_k5/query_cmdrels_weight_analyze/0.2_0.1_0.7/su_758463.xlsx","su_758463")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HYPERLINK("./new_k5/query_cmdrels_weight_analyze/0.2_0.1_0.7/su_766437.xlsx","su_766437")</f>
        <v>su_766437</v>
      </c>
      <c r="B337">
        <v>0</v>
      </c>
      <c r="C337">
        <v>0.2</v>
      </c>
      <c r="D337">
        <v>0</v>
      </c>
      <c r="E337">
        <v>0.33333333333333331</v>
      </c>
      <c r="F337">
        <v>0.05</v>
      </c>
      <c r="G337">
        <v>0.45333333333333331</v>
      </c>
    </row>
    <row r="338" spans="1:7" x14ac:dyDescent="0.15">
      <c r="A338" t="str">
        <f>HYPERLINK("./new_k5/query_cmdrels_weight_analyze/0.2_0.1_0.7/su_904001.xlsx","su_904001")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HYPERLINK("./new_k5/query_cmdrels_weight_analyze/0.2_0.1_0.7/ul_100959.xlsx","ul_100959")</f>
        <v>ul_100959</v>
      </c>
      <c r="B339">
        <v>0</v>
      </c>
      <c r="C339">
        <v>0</v>
      </c>
      <c r="D339">
        <v>0.25</v>
      </c>
      <c r="E339">
        <v>0.25</v>
      </c>
      <c r="F339">
        <v>0.25</v>
      </c>
      <c r="G339">
        <v>0.5</v>
      </c>
    </row>
    <row r="340" spans="1:7" x14ac:dyDescent="0.15">
      <c r="A340" t="str">
        <f>HYPERLINK("./new_k5/query_cmdrels_weight_analyze/0.2_0.1_0.7/ul_101073.xlsx","ul_101073")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HYPERLINK("./new_k5/query_cmdrels_weight_analyze/0.2_0.1_0.7/ul_101237.xlsx","ul_101237")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HYPERLINK("./new_k5/query_cmdrels_weight_analyze/0.2_0.1_0.7/ul_102752.xlsx","ul_102752")</f>
        <v>ul_102752</v>
      </c>
      <c r="B342">
        <v>0</v>
      </c>
      <c r="C342">
        <v>0.25</v>
      </c>
      <c r="D342">
        <v>0.29166666666666657</v>
      </c>
      <c r="E342">
        <v>0.5</v>
      </c>
      <c r="F342">
        <v>0.29166666666666657</v>
      </c>
      <c r="G342">
        <v>0.88749999999999996</v>
      </c>
    </row>
    <row r="343" spans="1:7" x14ac:dyDescent="0.15">
      <c r="A343" t="str">
        <f>HYPERLINK("./new_k5/query_cmdrels_weight_analyze/0.2_0.1_0.7/ul_108174.xlsx","ul_108174")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HYPERLINK("./new_k5/query_cmdrels_weight_analyze/0.2_0.1_0.7/ul_109536.xlsx","ul_109536")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HYPERLINK("./new_k5/query_cmdrels_weight_analyze/0.2_0.1_0.7/ul_112050.xlsx","ul_112050")</f>
        <v>ul_112050</v>
      </c>
      <c r="B345">
        <v>0</v>
      </c>
      <c r="C345">
        <v>0.25</v>
      </c>
      <c r="D345">
        <v>0.125</v>
      </c>
      <c r="E345">
        <v>0.5</v>
      </c>
      <c r="F345">
        <v>0.125</v>
      </c>
      <c r="G345">
        <v>0.6875</v>
      </c>
    </row>
    <row r="346" spans="1:7" x14ac:dyDescent="0.15">
      <c r="A346" t="str">
        <f>HYPERLINK("./new_k5/query_cmdrels_weight_analyze/0.2_0.1_0.7/ul_116070.xlsx","ul_116070")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HYPERLINK("./new_k5/query_cmdrels_weight_analyze/0.2_0.1_0.7/ul_11851.xlsx","ul_11851")</f>
        <v>ul_11851</v>
      </c>
      <c r="B347">
        <v>0</v>
      </c>
      <c r="C347">
        <v>0.2</v>
      </c>
      <c r="D347">
        <v>0</v>
      </c>
      <c r="E347">
        <v>0.33333333333333331</v>
      </c>
      <c r="F347">
        <v>0</v>
      </c>
      <c r="G347">
        <v>0.64333333333333331</v>
      </c>
    </row>
    <row r="348" spans="1:7" x14ac:dyDescent="0.15">
      <c r="A348" t="str">
        <f>HYPERLINK("./new_k5/query_cmdrels_weight_analyze/0.2_0.1_0.7/ul_119126.xlsx","ul_119126")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HYPERLINK("./new_k5/query_cmdrels_weight_analyze/0.2_0.1_0.7/ul_121718.xlsx","ul_121718")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HYPERLINK("./new_k5/query_cmdrels_weight_analyze/0.2_0.1_0.7/ul_12227.xlsx","ul_12227")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HYPERLINK("./new_k5/query_cmdrels_weight_analyze/0.2_0.1_0.7/ul_12453.xlsx","ul_12453")</f>
        <v>ul_12453</v>
      </c>
      <c r="B351">
        <v>0</v>
      </c>
      <c r="C351">
        <v>0</v>
      </c>
      <c r="D351">
        <v>0.125</v>
      </c>
      <c r="E351">
        <v>0.29166666666666657</v>
      </c>
      <c r="F351">
        <v>0.125</v>
      </c>
      <c r="G351">
        <v>0.29166666666666657</v>
      </c>
    </row>
    <row r="352" spans="1:7" x14ac:dyDescent="0.15">
      <c r="A352" t="str">
        <f>HYPERLINK("./new_k5/query_cmdrels_weight_analyze/0.2_0.1_0.7/ul_12535.xlsx","ul_12535")</f>
        <v>ul_12535</v>
      </c>
      <c r="B352">
        <v>0</v>
      </c>
      <c r="C352">
        <v>0</v>
      </c>
      <c r="D352">
        <v>0</v>
      </c>
      <c r="E352">
        <v>0.23333333333333331</v>
      </c>
      <c r="F352">
        <v>0.05</v>
      </c>
      <c r="G352">
        <v>0.35333333333333328</v>
      </c>
    </row>
    <row r="353" spans="1:7" x14ac:dyDescent="0.15">
      <c r="A353" t="str">
        <f>HYPERLINK("./new_k5/query_cmdrels_weight_analyze/0.2_0.1_0.7/ul_127066.xlsx","ul_127066")</f>
        <v>ul_127066</v>
      </c>
      <c r="B353">
        <v>0.25</v>
      </c>
      <c r="C353">
        <v>0.25</v>
      </c>
      <c r="D353">
        <v>0.25</v>
      </c>
      <c r="E353">
        <v>0.5</v>
      </c>
      <c r="F353">
        <v>0.25</v>
      </c>
      <c r="G353">
        <v>0.5</v>
      </c>
    </row>
    <row r="354" spans="1:7" x14ac:dyDescent="0.15">
      <c r="A354" t="str">
        <f>HYPERLINK("./new_k5/query_cmdrels_weight_analyze/0.2_0.1_0.7/ul_128953.xlsx","ul_128953")</f>
        <v>ul_128953</v>
      </c>
      <c r="B354">
        <v>0</v>
      </c>
      <c r="C354">
        <v>0.33333333333333331</v>
      </c>
      <c r="D354">
        <v>0.38888888888888878</v>
      </c>
      <c r="E354">
        <v>0.55555555555555547</v>
      </c>
      <c r="F354">
        <v>0.38888888888888878</v>
      </c>
      <c r="G354">
        <v>0.55555555555555547</v>
      </c>
    </row>
    <row r="355" spans="1:7" x14ac:dyDescent="0.15">
      <c r="A355" t="str">
        <f>HYPERLINK("./new_k5/query_cmdrels_weight_analyze/0.2_0.1_0.7/ul_134829.xlsx","ul_134829")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0.33333333333333331</v>
      </c>
      <c r="F355">
        <v>0.33333333333333331</v>
      </c>
      <c r="G355">
        <v>0.43333333333333329</v>
      </c>
    </row>
    <row r="356" spans="1:7" x14ac:dyDescent="0.15">
      <c r="A356" t="str">
        <f>HYPERLINK("./new_k5/query_cmdrels_weight_analyze/0.2_0.1_0.7/ul_136371.xlsx","ul_136371")</f>
        <v>ul_136371</v>
      </c>
      <c r="B356">
        <v>0</v>
      </c>
      <c r="C356">
        <v>0.33333333333333331</v>
      </c>
      <c r="D356">
        <v>0</v>
      </c>
      <c r="E356">
        <v>0.33333333333333331</v>
      </c>
      <c r="F356">
        <v>0</v>
      </c>
      <c r="G356">
        <v>0.46666666666666662</v>
      </c>
    </row>
    <row r="357" spans="1:7" x14ac:dyDescent="0.15">
      <c r="A357" t="str">
        <f>HYPERLINK("./new_k5/query_cmdrels_weight_analyze/0.2_0.1_0.7/ul_136884.xlsx","ul_136884")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HYPERLINK("./new_k5/query_cmdrels_weight_analyze/0.2_0.1_0.7/ul_138398.xlsx","ul_138398")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6.25E-2</v>
      </c>
    </row>
    <row r="359" spans="1:7" x14ac:dyDescent="0.15">
      <c r="A359" t="str">
        <f>HYPERLINK("./new_k5/query_cmdrels_weight_analyze/0.2_0.1_0.7/ul_139271.xlsx","ul_139271")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0.33333333333333331</v>
      </c>
      <c r="F359">
        <v>0.33333333333333331</v>
      </c>
      <c r="G359">
        <v>0.45833333333333331</v>
      </c>
    </row>
    <row r="360" spans="1:7" x14ac:dyDescent="0.15">
      <c r="A360" t="str">
        <f>HYPERLINK("./new_k5/query_cmdrels_weight_analyze/0.2_0.1_0.7/ul_140482.xlsx","ul_140482")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0.55555555555555547</v>
      </c>
      <c r="F360">
        <v>0.33333333333333331</v>
      </c>
      <c r="G360">
        <v>0.55555555555555547</v>
      </c>
    </row>
    <row r="361" spans="1:7" x14ac:dyDescent="0.15">
      <c r="A361" t="str">
        <f>HYPERLINK("./new_k5/query_cmdrels_weight_analyze/0.2_0.1_0.7/ul_14191.xlsx","ul_14191")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0.24444444444444449</v>
      </c>
    </row>
    <row r="362" spans="1:7" x14ac:dyDescent="0.15">
      <c r="A362" t="str">
        <f>HYPERLINK("./new_k5/query_cmdrels_weight_analyze/0.2_0.1_0.7/ul_145929.xlsx","ul_145929")</f>
        <v>ul_145929</v>
      </c>
      <c r="B362">
        <v>0</v>
      </c>
      <c r="C362">
        <v>0</v>
      </c>
      <c r="D362">
        <v>0.16666666666666671</v>
      </c>
      <c r="E362">
        <v>0</v>
      </c>
      <c r="F362">
        <v>0.16666666666666671</v>
      </c>
      <c r="G362">
        <v>0.125</v>
      </c>
    </row>
    <row r="363" spans="1:7" x14ac:dyDescent="0.15">
      <c r="A363" t="str">
        <f>HYPERLINK("./new_k5/query_cmdrels_weight_analyze/0.2_0.1_0.7/ul_148985.xlsx","ul_148985")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HYPERLINK("./new_k5/query_cmdrels_weight_analyze/0.2_0.1_0.7/ul_15405.xlsx","ul_15405")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0.65</v>
      </c>
    </row>
    <row r="365" spans="1:7" x14ac:dyDescent="0.15">
      <c r="A365" t="str">
        <f>HYPERLINK("./new_k5/query_cmdrels_weight_analyze/0.2_0.1_0.7/ul_155551.xlsx","ul_155551")</f>
        <v>ul_155551</v>
      </c>
      <c r="B365">
        <v>0</v>
      </c>
      <c r="C365">
        <v>0.5</v>
      </c>
      <c r="D365">
        <v>0</v>
      </c>
      <c r="E365">
        <v>0.5</v>
      </c>
      <c r="F365">
        <v>0</v>
      </c>
      <c r="G365">
        <v>0.75</v>
      </c>
    </row>
    <row r="366" spans="1:7" x14ac:dyDescent="0.15">
      <c r="A366" t="str">
        <f>HYPERLINK("./new_k5/query_cmdrels_weight_analyze/0.2_0.1_0.7/ul_159672.xlsx","ul_159672")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HYPERLINK("./new_k5/query_cmdrels_weight_analyze/0.2_0.1_0.7/ul_163845.xlsx","ul_163845")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0.29166666666666657</v>
      </c>
    </row>
    <row r="368" spans="1:7" x14ac:dyDescent="0.15">
      <c r="A368" t="str">
        <f>HYPERLINK("./new_k5/query_cmdrels_weight_analyze/0.2_0.1_0.7/ul_16407.xlsx","ul_16407")</f>
        <v>ul_16407</v>
      </c>
      <c r="B368">
        <v>0.5</v>
      </c>
      <c r="C368">
        <v>0.5</v>
      </c>
      <c r="D368">
        <v>0.5</v>
      </c>
      <c r="E368">
        <v>1</v>
      </c>
      <c r="F368">
        <v>0.75</v>
      </c>
      <c r="G368">
        <v>1</v>
      </c>
    </row>
    <row r="369" spans="1:7" x14ac:dyDescent="0.15">
      <c r="A369" t="str">
        <f>HYPERLINK("./new_k5/query_cmdrels_weight_analyze/0.2_0.1_0.7/ul_166558.xlsx","ul_166558")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HYPERLINK("./new_k5/query_cmdrels_weight_analyze/0.2_0.1_0.7/ul_171314.xlsx","ul_171314")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0.35</v>
      </c>
    </row>
    <row r="371" spans="1:7" x14ac:dyDescent="0.15">
      <c r="A371" t="str">
        <f>HYPERLINK("./new_k5/query_cmdrels_weight_analyze/0.2_0.1_0.7/ul_182032.xlsx","ul_182032")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HYPERLINK("./new_k5/query_cmdrels_weight_analyze/0.2_0.1_0.7/ul_19344.xlsx","ul_19344")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HYPERLINK("./new_k5/query_cmdrels_weight_analyze/0.2_0.1_0.7/ul_19369.xlsx","ul_19369")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HYPERLINK("./new_k5/query_cmdrels_weight_analyze/0.2_0.1_0.7/ul_19485.xlsx","ul_19485")</f>
        <v>ul_19485</v>
      </c>
      <c r="B374">
        <v>0</v>
      </c>
      <c r="C374">
        <v>0</v>
      </c>
      <c r="D374">
        <v>0</v>
      </c>
      <c r="E374">
        <v>0.33333333333333331</v>
      </c>
      <c r="F374">
        <v>0</v>
      </c>
      <c r="G374">
        <v>0.33333333333333331</v>
      </c>
    </row>
    <row r="375" spans="1:7" x14ac:dyDescent="0.15">
      <c r="A375" t="str">
        <f>HYPERLINK("./new_k5/query_cmdrels_weight_analyze/0.2_0.1_0.7/ul_20370.xlsx","ul_20370")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15">
      <c r="A376" t="str">
        <f>HYPERLINK("./new_k5/query_cmdrels_weight_analyze/0.2_0.1_0.7/ul_211817.xlsx","ul_211817")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HYPERLINK("./new_k5/query_cmdrels_weight_analyze/0.2_0.1_0.7/ul_212925.xlsx","ul_212925")</f>
        <v>ul_212925</v>
      </c>
      <c r="B377">
        <v>0</v>
      </c>
      <c r="C377">
        <v>0</v>
      </c>
      <c r="D377">
        <v>0</v>
      </c>
      <c r="E377">
        <v>0.5</v>
      </c>
      <c r="F377">
        <v>0</v>
      </c>
      <c r="G377">
        <v>0.5</v>
      </c>
    </row>
    <row r="378" spans="1:7" x14ac:dyDescent="0.15">
      <c r="A378" t="str">
        <f>HYPERLINK("./new_k5/query_cmdrels_weight_analyze/0.2_0.1_0.7/ul_21471.xlsx","ul_21471")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HYPERLINK("./new_k5/query_cmdrels_weight_analyze/0.2_0.1_0.7/ul_22545.xlsx","ul_22545")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HYPERLINK("./new_k5/query_cmdrels_weight_analyze/0.2_0.1_0.7/ul_230481.xlsx","ul_230481")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0.55555555555555547</v>
      </c>
    </row>
    <row r="381" spans="1:7" x14ac:dyDescent="0.15">
      <c r="A381" t="str">
        <f>HYPERLINK("./new_k5/query_cmdrels_weight_analyze/0.2_0.1_0.7/ul_230673.xlsx","ul_230673")</f>
        <v>ul_230673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0.125</v>
      </c>
    </row>
    <row r="382" spans="1:7" x14ac:dyDescent="0.15">
      <c r="A382" t="str">
        <f>HYPERLINK("./new_k5/query_cmdrels_weight_analyze/0.2_0.1_0.7/ul_230800.xlsx","ul_230800")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HYPERLINK("./new_k5/query_cmdrels_weight_analyze/0.2_0.1_0.7/ul_232384.xlsx","ul_232384")</f>
        <v>ul_232384</v>
      </c>
      <c r="B383">
        <v>0</v>
      </c>
      <c r="C383">
        <v>0.5</v>
      </c>
      <c r="D383">
        <v>0</v>
      </c>
      <c r="E383">
        <v>0.5</v>
      </c>
      <c r="F383">
        <v>0</v>
      </c>
      <c r="G383">
        <v>0.5</v>
      </c>
    </row>
    <row r="384" spans="1:7" x14ac:dyDescent="0.15">
      <c r="A384" t="str">
        <f>HYPERLINK("./new_k5/query_cmdrels_weight_analyze/0.2_0.1_0.7/ul_24441.xlsx","ul_24441")</f>
        <v>ul_24441</v>
      </c>
      <c r="B384">
        <v>0</v>
      </c>
      <c r="C384">
        <v>0</v>
      </c>
      <c r="D384">
        <v>0</v>
      </c>
      <c r="E384">
        <v>0.25</v>
      </c>
      <c r="F384">
        <v>0</v>
      </c>
      <c r="G384">
        <v>0.25</v>
      </c>
    </row>
    <row r="385" spans="1:7" x14ac:dyDescent="0.15">
      <c r="A385" t="str">
        <f>HYPERLINK("./new_k5/query_cmdrels_weight_analyze/0.2_0.1_0.7/ul_246535.xlsx","ul_246535")</f>
        <v>ul_246535</v>
      </c>
      <c r="B385">
        <v>0.2</v>
      </c>
      <c r="C385">
        <v>0.2</v>
      </c>
      <c r="D385">
        <v>0.2</v>
      </c>
      <c r="E385">
        <v>0.2</v>
      </c>
      <c r="F385">
        <v>0.2</v>
      </c>
      <c r="G385">
        <v>0.42</v>
      </c>
    </row>
    <row r="386" spans="1:7" x14ac:dyDescent="0.15">
      <c r="A386" t="str">
        <f>HYPERLINK("./new_k5/query_cmdrels_weight_analyze/0.2_0.1_0.7/ul_259791.xlsx","ul_259791")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HYPERLINK("./new_k5/query_cmdrels_weight_analyze/0.2_0.1_0.7/ul_273971.xlsx","ul_273971")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0.33333333333333331</v>
      </c>
      <c r="F387">
        <v>0.43333333333333329</v>
      </c>
      <c r="G387">
        <v>0.43333333333333329</v>
      </c>
    </row>
    <row r="388" spans="1:7" x14ac:dyDescent="0.15">
      <c r="A388" t="str">
        <f>HYPERLINK("./new_k5/query_cmdrels_weight_analyze/0.2_0.1_0.7/ul_28553.xlsx","ul_28553")</f>
        <v>ul_28553</v>
      </c>
      <c r="B388">
        <v>0.25</v>
      </c>
      <c r="C388">
        <v>0</v>
      </c>
      <c r="D388">
        <v>0.5</v>
      </c>
      <c r="E388">
        <v>0</v>
      </c>
      <c r="F388">
        <v>0.5</v>
      </c>
      <c r="G388">
        <v>0</v>
      </c>
    </row>
    <row r="389" spans="1:7" x14ac:dyDescent="0.15">
      <c r="A389" t="str">
        <f>HYPERLINK("./new_k5/query_cmdrels_weight_analyze/0.2_0.1_0.7/ul_288521.xlsx","ul_288521")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HYPERLINK("./new_k5/query_cmdrels_weight_analyze/0.2_0.1_0.7/ul_32290.xlsx","ul_32290")</f>
        <v>ul_32290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6.25E-2</v>
      </c>
    </row>
    <row r="391" spans="1:7" x14ac:dyDescent="0.15">
      <c r="A391" t="str">
        <f>HYPERLINK("./new_k5/query_cmdrels_weight_analyze/0.2_0.1_0.7/ul_328882.xlsx","ul_328882")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HYPERLINK("./new_k5/query_cmdrels_weight_analyze/0.2_0.1_0.7/ul_35131.xlsx","ul_35131")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0.66666666666666663</v>
      </c>
    </row>
    <row r="393" spans="1:7" x14ac:dyDescent="0.15">
      <c r="A393" t="str">
        <f>HYPERLINK("./new_k5/query_cmdrels_weight_analyze/0.2_0.1_0.7/ul_35333.xlsx","ul_35333")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HYPERLINK("./new_k5/query_cmdrels_weight_analyze/0.2_0.1_0.7/ul_35711.xlsx","ul_35711")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HYPERLINK("./new_k5/query_cmdrels_weight_analyze/0.2_0.1_0.7/ul_3575.xlsx","ul_3575")</f>
        <v>ul_3575</v>
      </c>
      <c r="B395">
        <v>0</v>
      </c>
      <c r="C395">
        <v>0</v>
      </c>
      <c r="D395">
        <v>8.3333333333333329E-2</v>
      </c>
      <c r="E395">
        <v>8.3333333333333329E-2</v>
      </c>
      <c r="F395">
        <v>8.3333333333333329E-2</v>
      </c>
      <c r="G395">
        <v>8.3333333333333329E-2</v>
      </c>
    </row>
    <row r="396" spans="1:7" x14ac:dyDescent="0.15">
      <c r="A396" t="str">
        <f>HYPERLINK("./new_k5/query_cmdrels_weight_analyze/0.2_0.1_0.7/ul_35832.xlsx","ul_35832")</f>
        <v>ul_35832</v>
      </c>
      <c r="B396">
        <v>0.5</v>
      </c>
      <c r="C396">
        <v>0.5</v>
      </c>
      <c r="D396">
        <v>0.5</v>
      </c>
      <c r="E396">
        <v>1</v>
      </c>
      <c r="F396">
        <v>0.5</v>
      </c>
      <c r="G396">
        <v>1</v>
      </c>
    </row>
    <row r="397" spans="1:7" x14ac:dyDescent="0.15">
      <c r="A397" t="str">
        <f>HYPERLINK("./new_k5/query_cmdrels_weight_analyze/0.2_0.1_0.7/ul_370318.xlsx","ul_370318")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0.42857142857142849</v>
      </c>
      <c r="F397">
        <v>0.14285714285714279</v>
      </c>
      <c r="G397">
        <v>0.42857142857142849</v>
      </c>
    </row>
    <row r="398" spans="1:7" x14ac:dyDescent="0.15">
      <c r="A398" t="str">
        <f>HYPERLINK("./new_k5/query_cmdrels_weight_analyze/0.2_0.1_0.7/ul_37329.xlsx","ul_37329")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0.55555555555555547</v>
      </c>
      <c r="F398">
        <v>0.33333333333333331</v>
      </c>
      <c r="G398">
        <v>0.55555555555555547</v>
      </c>
    </row>
    <row r="399" spans="1:7" x14ac:dyDescent="0.15">
      <c r="A399" t="str">
        <f>HYPERLINK("./new_k5/query_cmdrels_weight_analyze/0.2_0.1_0.7/ul_38209.xlsx","ul_38209")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HYPERLINK("./new_k5/query_cmdrels_weight_analyze/0.2_0.1_0.7/ul_41246.xlsx","ul_41246")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HYPERLINK("./new_k5/query_cmdrels_weight_analyze/0.2_0.1_0.7/ul_41362.xlsx","ul_41362")</f>
        <v>ul_41362</v>
      </c>
      <c r="B401">
        <v>0</v>
      </c>
      <c r="C401">
        <v>0</v>
      </c>
      <c r="D401">
        <v>0</v>
      </c>
      <c r="E401">
        <v>0.125</v>
      </c>
      <c r="F401">
        <v>0</v>
      </c>
      <c r="G401">
        <v>0.125</v>
      </c>
    </row>
    <row r="402" spans="1:7" x14ac:dyDescent="0.15">
      <c r="A402" t="str">
        <f>HYPERLINK("./new_k5/query_cmdrels_weight_analyze/0.2_0.1_0.7/ul_48200.xlsx","ul_48200")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HYPERLINK("./new_k5/query_cmdrels_weight_analyze/0.2_0.1_0.7/ul_50098.xlsx","ul_50098")</f>
        <v>ul_50098</v>
      </c>
      <c r="B403">
        <v>0</v>
      </c>
      <c r="C403">
        <v>0.1</v>
      </c>
      <c r="D403">
        <v>0.1166666666666667</v>
      </c>
      <c r="E403">
        <v>0.16666666666666671</v>
      </c>
      <c r="F403">
        <v>0.1166666666666667</v>
      </c>
      <c r="G403">
        <v>0.24166666666666661</v>
      </c>
    </row>
    <row r="404" spans="1:7" x14ac:dyDescent="0.15">
      <c r="A404" t="str">
        <f>HYPERLINK("./new_k5/query_cmdrels_weight_analyze/0.2_0.1_0.7/ul_50785.xlsx","ul_50785")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HYPERLINK("./new_k5/query_cmdrels_weight_analyze/0.2_0.1_0.7/ul_5085.xlsx","ul_5085")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HYPERLINK("./new_k5/query_cmdrels_weight_analyze/0.2_0.1_0.7/ul_53737.xlsx","ul_53737")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HYPERLINK("./new_k5/query_cmdrels_weight_analyze/0.2_0.1_0.7/ul_55125.xlsx","ul_55125")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HYPERLINK("./new_k5/query_cmdrels_weight_analyze/0.2_0.1_0.7/ul_56453.xlsx","ul_56453")</f>
        <v>ul_56453</v>
      </c>
      <c r="B408">
        <v>0</v>
      </c>
      <c r="C408">
        <v>0</v>
      </c>
      <c r="D408">
        <v>8.3333333333333329E-2</v>
      </c>
      <c r="E408">
        <v>0.125</v>
      </c>
      <c r="F408">
        <v>8.3333333333333329E-2</v>
      </c>
      <c r="G408">
        <v>0.125</v>
      </c>
    </row>
    <row r="409" spans="1:7" x14ac:dyDescent="0.15">
      <c r="A409" t="str">
        <f>HYPERLINK("./new_k5/query_cmdrels_weight_analyze/0.2_0.1_0.7/ul_63648.xlsx","ul_63648")</f>
        <v>ul_63648</v>
      </c>
      <c r="B409">
        <v>0</v>
      </c>
      <c r="C409">
        <v>0</v>
      </c>
      <c r="D409">
        <v>0.125</v>
      </c>
      <c r="E409">
        <v>8.3333333333333329E-2</v>
      </c>
      <c r="F409">
        <v>0.25</v>
      </c>
      <c r="G409">
        <v>8.3333333333333329E-2</v>
      </c>
    </row>
    <row r="410" spans="1:7" x14ac:dyDescent="0.15">
      <c r="A410" t="str">
        <f>HYPERLINK("./new_k5/query_cmdrels_weight_analyze/0.2_0.1_0.7/ul_6402.xlsx","ul_6402")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0.46666666666666662</v>
      </c>
    </row>
    <row r="411" spans="1:7" x14ac:dyDescent="0.15">
      <c r="A411" t="str">
        <f>HYPERLINK("./new_k5/query_cmdrels_weight_analyze/0.2_0.1_0.7/ul_65106.xlsx","ul_65106")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0.91666666666666663</v>
      </c>
    </row>
    <row r="412" spans="1:7" x14ac:dyDescent="0.15">
      <c r="A412" t="str">
        <f>HYPERLINK("./new_k5/query_cmdrels_weight_analyze/0.2_0.1_0.7/ul_65932.xlsx","ul_65932")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HYPERLINK("./new_k5/query_cmdrels_weight_analyze/0.2_0.1_0.7/ul_6596.xlsx","ul_6596")</f>
        <v>ul_6596</v>
      </c>
      <c r="B413">
        <v>0.2</v>
      </c>
      <c r="C413">
        <v>0.2</v>
      </c>
      <c r="D413">
        <v>0.6</v>
      </c>
      <c r="E413">
        <v>0.6</v>
      </c>
      <c r="F413">
        <v>0.6</v>
      </c>
      <c r="G413">
        <v>0.76</v>
      </c>
    </row>
    <row r="414" spans="1:7" x14ac:dyDescent="0.15">
      <c r="A414" t="str">
        <f>HYPERLINK("./new_k5/query_cmdrels_weight_analyze/0.2_0.1_0.7/ul_67503.xlsx","ul_67503")</f>
        <v>ul_67503</v>
      </c>
      <c r="B414">
        <v>0</v>
      </c>
      <c r="C414">
        <v>0.5</v>
      </c>
      <c r="D414">
        <v>0.25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HYPERLINK("./new_k5/query_cmdrels_weight_analyze/0.2_0.1_0.7/ul_67592.xlsx","ul_67592")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HYPERLINK("./new_k5/query_cmdrels_weight_analyze/0.2_0.1_0.7/ul_70581.xlsx","ul_70581")</f>
        <v>ul_70581</v>
      </c>
      <c r="B416">
        <v>0</v>
      </c>
      <c r="C416">
        <v>0</v>
      </c>
      <c r="D416">
        <v>0.1</v>
      </c>
      <c r="E416">
        <v>6.6666666666666666E-2</v>
      </c>
      <c r="F416">
        <v>0.1</v>
      </c>
      <c r="G416">
        <v>6.6666666666666666E-2</v>
      </c>
    </row>
    <row r="417" spans="1:7" x14ac:dyDescent="0.15">
      <c r="A417" t="str">
        <f>HYPERLINK("./new_k5/query_cmdrels_weight_analyze/0.2_0.1_0.7/ul_70614.xlsx","ul_70614")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HYPERLINK("./new_k5/query_cmdrels_weight_analyze/0.2_0.1_0.7/ul_71465.xlsx","ul_71465")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HYPERLINK("./new_k5/query_cmdrels_weight_analyze/0.2_0.1_0.7/ul_7226.xlsx","ul_7226")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0.55555555555555547</v>
      </c>
      <c r="F419">
        <v>0.33333333333333331</v>
      </c>
      <c r="G419">
        <v>0.55555555555555547</v>
      </c>
    </row>
    <row r="420" spans="1:7" x14ac:dyDescent="0.15">
      <c r="A420" t="str">
        <f>HYPERLINK("./new_k5/query_cmdrels_weight_analyze/0.2_0.1_0.7/ul_78182.xlsx","ul_78182")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HYPERLINK("./new_k5/query_cmdrels_weight_analyze/0.2_0.1_0.7/ul_79678.xlsx","ul_79678")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HYPERLINK("./new_k5/query_cmdrels_weight_analyze/0.2_0.1_0.7/ul_79702.xlsx","ul_79702")</f>
        <v>ul_79702</v>
      </c>
      <c r="B422">
        <v>0</v>
      </c>
      <c r="C422">
        <v>0.33333333333333331</v>
      </c>
      <c r="D422">
        <v>0</v>
      </c>
      <c r="E422">
        <v>0.55555555555555547</v>
      </c>
      <c r="F422">
        <v>0</v>
      </c>
      <c r="G422">
        <v>0.80555555555555547</v>
      </c>
    </row>
    <row r="423" spans="1:7" x14ac:dyDescent="0.15">
      <c r="A423" t="str">
        <f>HYPERLINK("./new_k5/query_cmdrels_weight_analyze/0.2_0.1_0.7/ul_83593.xlsx","ul_83593")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HYPERLINK("./new_k5/query_cmdrels_weight_analyze/0.2_0.1_0.7/ul_84381.xlsx","ul_84381")</f>
        <v>ul_84381</v>
      </c>
      <c r="B424">
        <v>0</v>
      </c>
      <c r="C424">
        <v>0.33333333333333331</v>
      </c>
      <c r="D424">
        <v>0.16666666666666671</v>
      </c>
      <c r="E424">
        <v>0.33333333333333331</v>
      </c>
      <c r="F424">
        <v>0.16666666666666671</v>
      </c>
      <c r="G424">
        <v>0.33333333333333331</v>
      </c>
    </row>
    <row r="425" spans="1:7" x14ac:dyDescent="0.15">
      <c r="A425" t="str">
        <f>HYPERLINK("./new_k5/query_cmdrels_weight_analyze/0.2_0.1_0.7/ul_85180.xlsx","ul_85180")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0.1111111111111111</v>
      </c>
    </row>
    <row r="426" spans="1:7" x14ac:dyDescent="0.15">
      <c r="A426" t="str">
        <f>HYPERLINK("./new_k5/query_cmdrels_weight_analyze/0.2_0.1_0.7/ul_86071.xlsx","ul_86071")</f>
        <v>ul_86071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0.125</v>
      </c>
    </row>
    <row r="427" spans="1:7" x14ac:dyDescent="0.15">
      <c r="A427" t="str">
        <f>HYPERLINK("./new_k5/query_cmdrels_weight_analyze/0.2_0.1_0.7/ul_86729.xlsx","ul_86729")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HYPERLINK("./new_k5/query_cmdrels_weight_analyze/0.2_0.1_0.7/ul_88824.xlsx","ul_88824")</f>
        <v>ul_88824</v>
      </c>
      <c r="B428">
        <v>0</v>
      </c>
      <c r="C428">
        <v>0.33333333333333331</v>
      </c>
      <c r="D428">
        <v>0</v>
      </c>
      <c r="E428">
        <v>0.55555555555555547</v>
      </c>
      <c r="F428">
        <v>0</v>
      </c>
      <c r="G428">
        <v>0.55555555555555547</v>
      </c>
    </row>
    <row r="429" spans="1:7" x14ac:dyDescent="0.15">
      <c r="A429" t="str">
        <f>HYPERLINK("./new_k5/query_cmdrels_weight_analyze/0.2_0.1_0.7/ul_8945.xlsx","ul_8945")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HYPERLINK("./new_k5/query_cmdrels_weight_analyze/0.2_0.1_0.7/ul_89933.xlsx","ul_89933")</f>
        <v>ul_89933</v>
      </c>
      <c r="B430">
        <v>0.5</v>
      </c>
      <c r="C430">
        <v>0</v>
      </c>
      <c r="D430">
        <v>0.5</v>
      </c>
      <c r="E430">
        <v>0.25</v>
      </c>
      <c r="F430">
        <v>0.5</v>
      </c>
      <c r="G430">
        <v>0.25</v>
      </c>
    </row>
    <row r="431" spans="1:7" x14ac:dyDescent="0.15">
      <c r="A431" t="str">
        <f>HYPERLINK("./new_k5/query_cmdrels_weight_analyze/0.2_0.1_0.7/ul_91297.xlsx","ul_91297")</f>
        <v>ul_91297</v>
      </c>
      <c r="B431">
        <v>0</v>
      </c>
      <c r="C431">
        <v>0</v>
      </c>
      <c r="D431">
        <v>0</v>
      </c>
      <c r="E431">
        <v>0.33333333333333331</v>
      </c>
      <c r="F431">
        <v>0</v>
      </c>
      <c r="G431">
        <v>0.33333333333333331</v>
      </c>
    </row>
    <row r="432" spans="1:7" x14ac:dyDescent="0.15">
      <c r="A432" t="str">
        <f>HYPERLINK("./new_k5/query_cmdrels_weight_analyze/0.2_0.1_0.7/ul_9252.xlsx","ul_9252")</f>
        <v>ul_9252</v>
      </c>
      <c r="B432">
        <v>0</v>
      </c>
      <c r="C432">
        <v>0</v>
      </c>
      <c r="D432">
        <v>0.23333333333333331</v>
      </c>
      <c r="E432">
        <v>0</v>
      </c>
      <c r="F432">
        <v>0.23333333333333331</v>
      </c>
      <c r="G432">
        <v>0.04</v>
      </c>
    </row>
    <row r="433" spans="1:7" x14ac:dyDescent="0.15">
      <c r="A433" t="str">
        <f>HYPERLINK("./new_k5/query_cmdrels_weight_analyze/0.2_0.1_0.7/ul_92560.xlsx","ul_92560")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0.75</v>
      </c>
    </row>
    <row r="434" spans="1:7" x14ac:dyDescent="0.15">
      <c r="A434" t="str">
        <f>HYPERLINK("./new_k5/query_cmdrels_weight_analyze/0.2_0.1_0.7/ul_92799.xlsx","ul_92799")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0.27777777777777768</v>
      </c>
      <c r="F434">
        <v>0.53611111111111109</v>
      </c>
      <c r="G434">
        <v>0.53611111111111109</v>
      </c>
    </row>
    <row r="435" spans="1:7" x14ac:dyDescent="0.15">
      <c r="A435" t="str">
        <f>HYPERLINK("./new_k5/query_cmdrels_weight_analyze/0.2_0.1_0.7/ul_93139.xlsx","ul_93139")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HYPERLINK("./new_k5/query_cmdrels_weight_analyze/0.2_0.1_0.7/ul_98461.xlsx","ul_98461")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HYPERLINK("./new_k5/query_cmdrels_weight_analyze/0.2_0.2_0.6/au_102733.xlsx","au_102733")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HYPERLINK("./new_k5/query_cmdrels_weight_analyze/0.2_0.2_0.6/au_1029436.xlsx","au_1029436")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HYPERLINK("./new_k5/query_cmdrels_weight_analyze/0.2_0.2_0.6/au_1029502.xlsx","au_1029502")</f>
        <v>au_1029502</v>
      </c>
      <c r="B5">
        <v>0.25</v>
      </c>
      <c r="C5">
        <v>0.25</v>
      </c>
      <c r="D5">
        <v>0.25</v>
      </c>
      <c r="E5">
        <v>0.25</v>
      </c>
      <c r="F5">
        <v>0.375</v>
      </c>
      <c r="G5">
        <v>0.25</v>
      </c>
    </row>
    <row r="6" spans="1:7" x14ac:dyDescent="0.15">
      <c r="A6" t="str">
        <f>HYPERLINK("./new_k5/query_cmdrels_weight_analyze/0.2_0.2_0.6/au_1029531.xlsx","au_1029531")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HYPERLINK("./new_k5/query_cmdrels_weight_analyze/0.2_0.2_0.6/au_104542.xlsx","au_104542")</f>
        <v>au_104542</v>
      </c>
      <c r="B7">
        <v>0.125</v>
      </c>
      <c r="C7">
        <v>0.125</v>
      </c>
      <c r="D7">
        <v>0.25</v>
      </c>
      <c r="E7">
        <v>0.25</v>
      </c>
      <c r="F7">
        <v>0.25</v>
      </c>
      <c r="G7">
        <v>0.25</v>
      </c>
    </row>
    <row r="8" spans="1:7" x14ac:dyDescent="0.15">
      <c r="A8" t="str">
        <f>HYPERLINK("./new_k5/query_cmdrels_weight_analyze/0.2_0.2_0.6/au_109070.xlsx","au_109070")</f>
        <v>au_109070</v>
      </c>
      <c r="B8">
        <v>0</v>
      </c>
      <c r="C8">
        <v>0</v>
      </c>
      <c r="D8">
        <v>0.23333333333333331</v>
      </c>
      <c r="E8">
        <v>0.1</v>
      </c>
      <c r="F8">
        <v>0.3833333333333333</v>
      </c>
      <c r="G8">
        <v>0.1</v>
      </c>
    </row>
    <row r="9" spans="1:7" x14ac:dyDescent="0.15">
      <c r="A9" t="str">
        <f>HYPERLINK("./new_k5/query_cmdrels_weight_analyze/0.2_0.2_0.6/au_109381.xlsx","au_109381")</f>
        <v>au_109381</v>
      </c>
      <c r="B9">
        <v>0</v>
      </c>
      <c r="C9">
        <v>0</v>
      </c>
      <c r="D9">
        <v>0.25</v>
      </c>
      <c r="E9">
        <v>0.25</v>
      </c>
      <c r="F9">
        <v>0.25</v>
      </c>
      <c r="G9">
        <v>0.25</v>
      </c>
    </row>
    <row r="10" spans="1:7" x14ac:dyDescent="0.15">
      <c r="A10" t="str">
        <f>HYPERLINK("./new_k5/query_cmdrels_weight_analyze/0.2_0.2_0.6/au_110477.xlsx","au_110477")</f>
        <v>au_110477</v>
      </c>
      <c r="B10">
        <v>0.25</v>
      </c>
      <c r="C10">
        <v>0.25</v>
      </c>
      <c r="D10">
        <v>0.5</v>
      </c>
      <c r="E10">
        <v>0.5</v>
      </c>
      <c r="F10">
        <v>0.5</v>
      </c>
      <c r="G10">
        <v>0.5</v>
      </c>
    </row>
    <row r="11" spans="1:7" x14ac:dyDescent="0.15">
      <c r="A11" t="str">
        <f>HYPERLINK("./new_k5/query_cmdrels_weight_analyze/0.2_0.2_0.6/au_111678.xlsx","au_111678")</f>
        <v>au_111678</v>
      </c>
      <c r="B11">
        <v>0</v>
      </c>
      <c r="C11">
        <v>0</v>
      </c>
      <c r="D11">
        <v>0.1111111111111111</v>
      </c>
      <c r="E11">
        <v>0.16666666666666671</v>
      </c>
      <c r="F11">
        <v>0.1111111111111111</v>
      </c>
      <c r="G11">
        <v>0.16666666666666671</v>
      </c>
    </row>
    <row r="12" spans="1:7" x14ac:dyDescent="0.15">
      <c r="A12" t="str">
        <f>HYPERLINK("./new_k5/query_cmdrels_weight_analyze/0.2_0.2_0.6/au_112512.xlsx","au_112512")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HYPERLINK("./new_k5/query_cmdrels_weight_analyze/0.2_0.2_0.6/au_115369.xlsx","au_115369")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HYPERLINK("./new_k5/query_cmdrels_weight_analyze/0.2_0.2_0.6/au_11789.xlsx","au_11789")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HYPERLINK("./new_k5/query_cmdrels_weight_analyze/0.2_0.2_0.6/au_117950.xlsx","au_117950")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0.125</v>
      </c>
    </row>
    <row r="16" spans="1:7" x14ac:dyDescent="0.15">
      <c r="A16" t="str">
        <f>HYPERLINK("./new_k5/query_cmdrels_weight_analyze/0.2_0.2_0.6/au_122113.xlsx","au_122113")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HYPERLINK("./new_k5/query_cmdrels_weight_analyze/0.2_0.2_0.6/au_123798.xlsx","au_123798")</f>
        <v>au_123798</v>
      </c>
      <c r="B17">
        <v>0</v>
      </c>
      <c r="C17">
        <v>0</v>
      </c>
      <c r="D17">
        <v>5.5555555555555552E-2</v>
      </c>
      <c r="E17">
        <v>5.5555555555555552E-2</v>
      </c>
      <c r="F17">
        <v>0.23888888888888879</v>
      </c>
      <c r="G17">
        <v>0.23888888888888879</v>
      </c>
    </row>
    <row r="18" spans="1:7" x14ac:dyDescent="0.15">
      <c r="A18" t="str">
        <f>HYPERLINK("./new_k5/query_cmdrels_weight_analyze/0.2_0.2_0.6/au_125257.xlsx","au_125257")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HYPERLINK("./new_k5/query_cmdrels_weight_analyze/0.2_0.2_0.6/au_126153.xlsx","au_126153")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0.5</v>
      </c>
      <c r="F19">
        <v>0.45833333333333331</v>
      </c>
      <c r="G19">
        <v>0.66666666666666663</v>
      </c>
    </row>
    <row r="20" spans="1:7" x14ac:dyDescent="0.15">
      <c r="A20" t="str">
        <f>HYPERLINK("./new_k5/query_cmdrels_weight_analyze/0.2_0.2_0.6/au_127326.xlsx","au_127326")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HYPERLINK("./new_k5/query_cmdrels_weight_analyze/0.2_0.2_0.6/au_128463.xlsx","au_128463")</f>
        <v>au_128463</v>
      </c>
      <c r="B21">
        <v>0.33333333333333331</v>
      </c>
      <c r="C21">
        <v>0.33333333333333331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HYPERLINK("./new_k5/query_cmdrels_weight_analyze/0.2_0.2_0.6/au_130393.xlsx","au_130393")</f>
        <v>au_130393</v>
      </c>
      <c r="B22">
        <v>0</v>
      </c>
      <c r="C22">
        <v>0.25</v>
      </c>
      <c r="D22">
        <v>0.125</v>
      </c>
      <c r="E22">
        <v>0.25</v>
      </c>
      <c r="F22">
        <v>0.125</v>
      </c>
      <c r="G22">
        <v>0.375</v>
      </c>
    </row>
    <row r="23" spans="1:7" x14ac:dyDescent="0.15">
      <c r="A23" t="str">
        <f>HYPERLINK("./new_k5/query_cmdrels_weight_analyze/0.2_0.2_0.6/au_131570.xlsx","au_131570")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HYPERLINK("./new_k5/query_cmdrels_weight_analyze/0.2_0.2_0.6/au_133318.xlsx","au_133318")</f>
        <v>au_133318</v>
      </c>
      <c r="B24">
        <v>0</v>
      </c>
      <c r="C24">
        <v>0.25</v>
      </c>
      <c r="D24">
        <v>0</v>
      </c>
      <c r="E24">
        <v>0.25</v>
      </c>
      <c r="F24">
        <v>0</v>
      </c>
      <c r="G24">
        <v>0.35</v>
      </c>
    </row>
    <row r="25" spans="1:7" x14ac:dyDescent="0.15">
      <c r="A25" t="str">
        <f>HYPERLINK("./new_k5/query_cmdrels_weight_analyze/0.2_0.2_0.6/au_133343.xlsx","au_133343")</f>
        <v>au_133343</v>
      </c>
      <c r="B25">
        <v>0</v>
      </c>
      <c r="C25">
        <v>0</v>
      </c>
      <c r="D25">
        <v>0</v>
      </c>
      <c r="E25">
        <v>0.1111111111111111</v>
      </c>
      <c r="F25">
        <v>0</v>
      </c>
      <c r="G25">
        <v>0.27777777777777768</v>
      </c>
    </row>
    <row r="26" spans="1:7" x14ac:dyDescent="0.15">
      <c r="A26" t="str">
        <f>HYPERLINK("./new_k5/query_cmdrels_weight_analyze/0.2_0.2_0.6/au_133389.xlsx","au_133389")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HYPERLINK("./new_k5/query_cmdrels_weight_analyze/0.2_0.2_0.6/au_141277.xlsx","au_141277")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HYPERLINK("./new_k5/query_cmdrels_weight_analyze/0.2_0.2_0.6/au_143819.xlsx","au_143819")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HYPERLINK("./new_k5/query_cmdrels_weight_analyze/0.2_0.2_0.6/au_145935.xlsx","au_145935")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HYPERLINK("./new_k5/query_cmdrels_weight_analyze/0.2_0.2_0.6/au_147241.xlsx","au_147241")</f>
        <v>au_147241</v>
      </c>
      <c r="B30">
        <v>0</v>
      </c>
      <c r="C30">
        <v>0</v>
      </c>
      <c r="D30">
        <v>0.29166666666666657</v>
      </c>
      <c r="E30">
        <v>0.29166666666666657</v>
      </c>
      <c r="F30">
        <v>0.29166666666666657</v>
      </c>
      <c r="G30">
        <v>0.44166666666666671</v>
      </c>
    </row>
    <row r="31" spans="1:7" x14ac:dyDescent="0.15">
      <c r="A31" t="str">
        <f>HYPERLINK("./new_k5/query_cmdrels_weight_analyze/0.2_0.2_0.6/au_147800.xlsx","au_147800")</f>
        <v>au_147800</v>
      </c>
      <c r="B31">
        <v>0</v>
      </c>
      <c r="C31">
        <v>0</v>
      </c>
      <c r="D31">
        <v>0.1111111111111111</v>
      </c>
      <c r="E31">
        <v>0.1111111111111111</v>
      </c>
      <c r="F31">
        <v>0.1111111111111111</v>
      </c>
      <c r="G31">
        <v>0.1111111111111111</v>
      </c>
    </row>
    <row r="32" spans="1:7" x14ac:dyDescent="0.15">
      <c r="A32" t="str">
        <f>HYPERLINK("./new_k5/query_cmdrels_weight_analyze/0.2_0.2_0.6/au_148321.xlsx","au_148321")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0.37777777777777782</v>
      </c>
    </row>
    <row r="33" spans="1:7" x14ac:dyDescent="0.15">
      <c r="A33" t="str">
        <f>HYPERLINK("./new_k5/query_cmdrels_weight_analyze/0.2_0.2_0.6/au_148638.xlsx","au_148638")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HYPERLINK("./new_k5/query_cmdrels_weight_analyze/0.2_0.2_0.6/au_151049.xlsx","au_151049")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HYPERLINK("./new_k5/query_cmdrels_weight_analyze/0.2_0.2_0.6/au_151941.xlsx","au_151941")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HYPERLINK("./new_k5/query_cmdrels_weight_analyze/0.2_0.2_0.6/au_152297.xlsx","au_152297")</f>
        <v>au_152297</v>
      </c>
      <c r="B36">
        <v>0</v>
      </c>
      <c r="C36">
        <v>0.14285714285714279</v>
      </c>
      <c r="D36">
        <v>7.1428571428571425E-2</v>
      </c>
      <c r="E36">
        <v>0.23809523809523811</v>
      </c>
      <c r="F36">
        <v>7.1428571428571425E-2</v>
      </c>
      <c r="G36">
        <v>0.23809523809523811</v>
      </c>
    </row>
    <row r="37" spans="1:7" x14ac:dyDescent="0.15">
      <c r="A37" t="str">
        <f>HYPERLINK("./new_k5/query_cmdrels_weight_analyze/0.2_0.2_0.6/au_153976.xlsx","au_153976")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0.16666666666666671</v>
      </c>
      <c r="F37">
        <v>0.33333333333333331</v>
      </c>
      <c r="G37">
        <v>0.25</v>
      </c>
    </row>
    <row r="38" spans="1:7" x14ac:dyDescent="0.15">
      <c r="A38" t="str">
        <f>HYPERLINK("./new_k5/query_cmdrels_weight_analyze/0.2_0.2_0.6/au_154431.xlsx","au_154431")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HYPERLINK("./new_k5/query_cmdrels_weight_analyze/0.2_0.2_0.6/au_159708.xlsx","au_159708")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0.33333333333333331</v>
      </c>
      <c r="F39">
        <v>0.33333333333333331</v>
      </c>
      <c r="G39">
        <v>0.33333333333333331</v>
      </c>
    </row>
    <row r="40" spans="1:7" x14ac:dyDescent="0.15">
      <c r="A40" t="str">
        <f>HYPERLINK("./new_k5/query_cmdrels_weight_analyze/0.2_0.2_0.6/au_160869.xlsx","au_160869")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HYPERLINK("./new_k5/query_cmdrels_weight_analyze/0.2_0.2_0.6/au_161313.xlsx","au_161313")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</v>
      </c>
    </row>
    <row r="42" spans="1:7" x14ac:dyDescent="0.15">
      <c r="A42" t="str">
        <f>HYPERLINK("./new_k5/query_cmdrels_weight_analyze/0.2_0.2_0.6/au_162075.xlsx","au_162075")</f>
        <v>au_162075</v>
      </c>
      <c r="B42">
        <v>0.25</v>
      </c>
      <c r="C42">
        <v>0.25</v>
      </c>
      <c r="D42">
        <v>0.5</v>
      </c>
      <c r="E42">
        <v>0.5</v>
      </c>
      <c r="F42">
        <v>0.5</v>
      </c>
      <c r="G42">
        <v>0.5</v>
      </c>
    </row>
    <row r="43" spans="1:7" x14ac:dyDescent="0.15">
      <c r="A43" t="str">
        <f>HYPERLINK("./new_k5/query_cmdrels_weight_analyze/0.2_0.2_0.6/au_16277.xlsx","au_16277")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0.66666666666666663</v>
      </c>
    </row>
    <row r="44" spans="1:7" x14ac:dyDescent="0.15">
      <c r="A44" t="str">
        <f>HYPERLINK("./new_k5/query_cmdrels_weight_analyze/0.2_0.2_0.6/au_163155.xlsx","au_163155")</f>
        <v>au_163155</v>
      </c>
      <c r="B44">
        <v>0.125</v>
      </c>
      <c r="C44">
        <v>0.125</v>
      </c>
      <c r="D44">
        <v>0.375</v>
      </c>
      <c r="E44">
        <v>0.20833333333333329</v>
      </c>
      <c r="F44">
        <v>0.5</v>
      </c>
      <c r="G44">
        <v>0.30208333333333331</v>
      </c>
    </row>
    <row r="45" spans="1:7" x14ac:dyDescent="0.15">
      <c r="A45" t="str">
        <f>HYPERLINK("./new_k5/query_cmdrels_weight_analyze/0.2_0.2_0.6/au_164473.xlsx","au_164473")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HYPERLINK("./new_k5/query_cmdrels_weight_analyze/0.2_0.2_0.6/au_16584.xlsx","au_16584")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9.0909090909090912E-2</v>
      </c>
      <c r="F46">
        <v>0.13636363636363641</v>
      </c>
      <c r="G46">
        <v>9.0909090909090912E-2</v>
      </c>
    </row>
    <row r="47" spans="1:7" x14ac:dyDescent="0.15">
      <c r="A47" t="str">
        <f>HYPERLINK("./new_k5/query_cmdrels_weight_analyze/0.2_0.2_0.6/au_166420.xlsx","au_166420")</f>
        <v>au_166420</v>
      </c>
      <c r="B47">
        <v>0.2</v>
      </c>
      <c r="C47">
        <v>0.2</v>
      </c>
      <c r="D47">
        <v>0.33333333333333331</v>
      </c>
      <c r="E47">
        <v>0.2</v>
      </c>
      <c r="F47">
        <v>0.48333333333333328</v>
      </c>
      <c r="G47">
        <v>0.3</v>
      </c>
    </row>
    <row r="48" spans="1:7" x14ac:dyDescent="0.15">
      <c r="A48" t="str">
        <f>HYPERLINK("./new_k5/query_cmdrels_weight_analyze/0.2_0.2_0.6/au_169473.xlsx","au_169473")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0.16666666666666671</v>
      </c>
      <c r="F48">
        <v>0.43333333333333329</v>
      </c>
      <c r="G48">
        <v>0.25</v>
      </c>
    </row>
    <row r="49" spans="1:7" x14ac:dyDescent="0.15">
      <c r="A49" t="str">
        <f>HYPERLINK("./new_k5/query_cmdrels_weight_analyze/0.2_0.2_0.6/au_169516.xlsx","au_169516")</f>
        <v>au_169516</v>
      </c>
      <c r="B49">
        <v>0.25</v>
      </c>
      <c r="C49">
        <v>0</v>
      </c>
      <c r="D49">
        <v>0.25</v>
      </c>
      <c r="E49">
        <v>0.29166666666666657</v>
      </c>
      <c r="F49">
        <v>0.25</v>
      </c>
      <c r="G49">
        <v>0.29166666666666657</v>
      </c>
    </row>
    <row r="50" spans="1:7" x14ac:dyDescent="0.15">
      <c r="A50" t="str">
        <f>HYPERLINK("./new_k5/query_cmdrels_weight_analyze/0.2_0.2_0.6/au_174292.xlsx","au_174292")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HYPERLINK("./new_k5/query_cmdrels_weight_analyze/0.2_0.2_0.6/au_178481.xlsx","au_178481")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HYPERLINK("./new_k5/query_cmdrels_weight_analyze/0.2_0.2_0.6/au_180925.xlsx","au_180925")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HYPERLINK("./new_k5/query_cmdrels_weight_analyze/0.2_0.2_0.6/au_187888.xlsx","au_187888")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HYPERLINK("./new_k5/query_cmdrels_weight_analyze/0.2_0.2_0.6/au_191390.xlsx","au_191390")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HYPERLINK("./new_k5/query_cmdrels_weight_analyze/0.2_0.2_0.6/au_192798.xlsx","au_192798")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HYPERLINK("./new_k5/query_cmdrels_weight_analyze/0.2_0.2_0.6/au_201775.xlsx","au_201775")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0.55555555555555547</v>
      </c>
      <c r="F56">
        <v>0.66666666666666663</v>
      </c>
      <c r="G56">
        <v>0.75555555555555554</v>
      </c>
    </row>
    <row r="57" spans="1:7" x14ac:dyDescent="0.15">
      <c r="A57" t="str">
        <f>HYPERLINK("./new_k5/query_cmdrels_weight_analyze/0.2_0.2_0.6/au_204166.xlsx","au_204166")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HYPERLINK("./new_k5/query_cmdrels_weight_analyze/0.2_0.2_0.6/au_207447.xlsx","au_207447")</f>
        <v>au_207447</v>
      </c>
      <c r="B58">
        <v>0.33333333333333331</v>
      </c>
      <c r="C58">
        <v>0.33333333333333331</v>
      </c>
      <c r="D58">
        <v>0.33333333333333331</v>
      </c>
      <c r="E58">
        <v>0.33333333333333331</v>
      </c>
      <c r="F58">
        <v>0.33333333333333331</v>
      </c>
      <c r="G58">
        <v>0.46666666666666662</v>
      </c>
    </row>
    <row r="59" spans="1:7" x14ac:dyDescent="0.15">
      <c r="A59" t="str">
        <f>HYPERLINK("./new_k5/query_cmdrels_weight_analyze/0.2_0.2_0.6/au_210680.xlsx","au_210680")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HYPERLINK("./new_k5/query_cmdrels_weight_analyze/0.2_0.2_0.6/au_214246.xlsx","au_214246")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HYPERLINK("./new_k5/query_cmdrels_weight_analyze/0.2_0.2_0.6/au_214643.xlsx","au_214643")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HYPERLINK("./new_k5/query_cmdrels_weight_analyze/0.2_0.2_0.6/au_2194.xlsx","au_2194")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HYPERLINK("./new_k5/query_cmdrels_weight_analyze/0.2_0.2_0.6/au_221962.xlsx","au_221962")</f>
        <v>au_221962</v>
      </c>
      <c r="B63">
        <v>0</v>
      </c>
      <c r="C63">
        <v>0</v>
      </c>
      <c r="D63">
        <v>5.5555555555555552E-2</v>
      </c>
      <c r="E63">
        <v>8.3333333333333329E-2</v>
      </c>
      <c r="F63">
        <v>0.1388888888888889</v>
      </c>
      <c r="G63">
        <v>0.16666666666666671</v>
      </c>
    </row>
    <row r="64" spans="1:7" x14ac:dyDescent="0.15">
      <c r="A64" t="str">
        <f>HYPERLINK("./new_k5/query_cmdrels_weight_analyze/0.2_0.2_0.6/au_22608.xlsx","au_22608")</f>
        <v>au_22608</v>
      </c>
      <c r="B64">
        <v>0.33333333333333331</v>
      </c>
      <c r="C64">
        <v>0.33333333333333331</v>
      </c>
      <c r="D64">
        <v>0.33333333333333331</v>
      </c>
      <c r="E64">
        <v>0.33333333333333331</v>
      </c>
      <c r="F64">
        <v>0.33333333333333331</v>
      </c>
      <c r="G64">
        <v>0.5</v>
      </c>
    </row>
    <row r="65" spans="1:7" x14ac:dyDescent="0.15">
      <c r="A65" t="str">
        <f>HYPERLINK("./new_k5/query_cmdrels_weight_analyze/0.2_0.2_0.6/au_230698.xlsx","au_230698")</f>
        <v>au_230698</v>
      </c>
      <c r="B65">
        <v>0.125</v>
      </c>
      <c r="C65">
        <v>0.125</v>
      </c>
      <c r="D65">
        <v>0.25</v>
      </c>
      <c r="E65">
        <v>0.25</v>
      </c>
      <c r="F65">
        <v>0.32500000000000001</v>
      </c>
      <c r="G65">
        <v>0.34375</v>
      </c>
    </row>
    <row r="66" spans="1:7" x14ac:dyDescent="0.15">
      <c r="A66" t="str">
        <f>HYPERLINK("./new_k5/query_cmdrels_weight_analyze/0.2_0.2_0.6/au_232442.xlsx","au_232442")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HYPERLINK("./new_k5/query_cmdrels_weight_analyze/0.2_0.2_0.6/au_233378.xlsx","au_233378")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HYPERLINK("./new_k5/query_cmdrels_weight_analyze/0.2_0.2_0.6/au_24027.xlsx","au_24027")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HYPERLINK("./new_k5/query_cmdrels_weight_analyze/0.2_0.2_0.6/au_246647.xlsx","au_246647")</f>
        <v>au_246647</v>
      </c>
      <c r="B69">
        <v>0.125</v>
      </c>
      <c r="C69">
        <v>0.125</v>
      </c>
      <c r="D69">
        <v>0.375</v>
      </c>
      <c r="E69">
        <v>0.25</v>
      </c>
      <c r="F69">
        <v>0.47499999999999998</v>
      </c>
      <c r="G69">
        <v>0.32500000000000001</v>
      </c>
    </row>
    <row r="70" spans="1:7" x14ac:dyDescent="0.15">
      <c r="A70" t="str">
        <f>HYPERLINK("./new_k5/query_cmdrels_weight_analyze/0.2_0.2_0.6/au_254424.xlsx","au_254424")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HYPERLINK("./new_k5/query_cmdrels_weight_analyze/0.2_0.2_0.6/au_255890.xlsx","au_255890")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HYPERLINK("./new_k5/query_cmdrels_weight_analyze/0.2_0.2_0.6/au_257248.xlsx","au_257248")</f>
        <v>au_257248</v>
      </c>
      <c r="B72">
        <v>0</v>
      </c>
      <c r="C72">
        <v>0.14285714285714279</v>
      </c>
      <c r="D72">
        <v>0.16666666666666671</v>
      </c>
      <c r="E72">
        <v>0.23809523809523811</v>
      </c>
      <c r="F72">
        <v>0.25238095238095237</v>
      </c>
      <c r="G72">
        <v>0.32380952380952382</v>
      </c>
    </row>
    <row r="73" spans="1:7" x14ac:dyDescent="0.15">
      <c r="A73" t="str">
        <f>HYPERLINK("./new_k5/query_cmdrels_weight_analyze/0.2_0.2_0.6/au_259354.xlsx","au_259354")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0.42857142857142849</v>
      </c>
    </row>
    <row r="74" spans="1:7" x14ac:dyDescent="0.15">
      <c r="A74" t="str">
        <f>HYPERLINK("./new_k5/query_cmdrels_weight_analyze/0.2_0.2_0.6/au_263378.xlsx","au_263378")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0.625</v>
      </c>
    </row>
    <row r="75" spans="1:7" x14ac:dyDescent="0.15">
      <c r="A75" t="str">
        <f>HYPERLINK("./new_k5/query_cmdrels_weight_analyze/0.2_0.2_0.6/au_264215.xlsx","au_264215")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HYPERLINK("./new_k5/query_cmdrels_weight_analyze/0.2_0.2_0.6/au_265176.xlsx","au_265176")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HYPERLINK("./new_k5/query_cmdrels_weight_analyze/0.2_0.2_0.6/au_275704.xlsx","au_275704")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HYPERLINK("./new_k5/query_cmdrels_weight_analyze/0.2_0.2_0.6/au_276669.xlsx","au_276669")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HYPERLINK("./new_k5/query_cmdrels_weight_analyze/0.2_0.2_0.6/au_277565.xlsx","au_277565")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HYPERLINK("./new_k5/query_cmdrels_weight_analyze/0.2_0.2_0.6/au_278403.xlsx","au_278403")</f>
        <v>au_278403</v>
      </c>
      <c r="B80">
        <v>0</v>
      </c>
      <c r="C80">
        <v>0</v>
      </c>
      <c r="D80">
        <v>8.3333333333333329E-2</v>
      </c>
      <c r="E80">
        <v>8.3333333333333329E-2</v>
      </c>
      <c r="F80">
        <v>0.20833333333333329</v>
      </c>
      <c r="G80">
        <v>0.20833333333333329</v>
      </c>
    </row>
    <row r="81" spans="1:7" x14ac:dyDescent="0.15">
      <c r="A81" t="str">
        <f>HYPERLINK("./new_k5/query_cmdrels_weight_analyze/0.2_0.2_0.6/au_28039.xlsx","au_28039")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HYPERLINK("./new_k5/query_cmdrels_weight_analyze/0.2_0.2_0.6/au_281509.xlsx","au_281509")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HYPERLINK("./new_k5/query_cmdrels_weight_analyze/0.2_0.2_0.6/au_282806.xlsx","au_282806")</f>
        <v>au_282806</v>
      </c>
      <c r="B83">
        <v>0</v>
      </c>
      <c r="C83">
        <v>0</v>
      </c>
      <c r="D83">
        <v>0.38888888888888878</v>
      </c>
      <c r="E83">
        <v>0.1111111111111111</v>
      </c>
      <c r="F83">
        <v>0.38888888888888878</v>
      </c>
      <c r="G83">
        <v>0.27777777777777768</v>
      </c>
    </row>
    <row r="84" spans="1:7" x14ac:dyDescent="0.15">
      <c r="A84" t="str">
        <f>HYPERLINK("./new_k5/query_cmdrels_weight_analyze/0.2_0.2_0.6/au_283559.xlsx","au_283559")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HYPERLINK("./new_k5/query_cmdrels_weight_analyze/0.2_0.2_0.6/au_285539.xlsx","au_285539")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HYPERLINK("./new_k5/query_cmdrels_weight_analyze/0.2_0.2_0.6/au_287532.xlsx","au_287532")</f>
        <v>au_287532</v>
      </c>
      <c r="B86">
        <v>0</v>
      </c>
      <c r="C86">
        <v>0</v>
      </c>
      <c r="D86">
        <v>0</v>
      </c>
      <c r="E86">
        <v>0.125</v>
      </c>
      <c r="F86">
        <v>0</v>
      </c>
      <c r="G86">
        <v>0.125</v>
      </c>
    </row>
    <row r="87" spans="1:7" x14ac:dyDescent="0.15">
      <c r="A87" t="str">
        <f>HYPERLINK("./new_k5/query_cmdrels_weight_analyze/0.2_0.2_0.6/au_294257.xlsx","au_294257")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HYPERLINK("./new_k5/query_cmdrels_weight_analyze/0.2_0.2_0.6/au_296155.xlsx","au_296155")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HYPERLINK("./new_k5/query_cmdrels_weight_analyze/0.2_0.2_0.6/au_299975.xlsx","au_299975")</f>
        <v>au_299975</v>
      </c>
      <c r="B89">
        <v>0.25</v>
      </c>
      <c r="C89">
        <v>0</v>
      </c>
      <c r="D89">
        <v>0.5</v>
      </c>
      <c r="E89">
        <v>0.125</v>
      </c>
      <c r="F89">
        <v>0.6875</v>
      </c>
      <c r="G89">
        <v>0.125</v>
      </c>
    </row>
    <row r="90" spans="1:7" x14ac:dyDescent="0.15">
      <c r="A90" t="str">
        <f>HYPERLINK("./new_k5/query_cmdrels_weight_analyze/0.2_0.2_0.6/au_301096.xlsx","au_301096")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HYPERLINK("./new_k5/query_cmdrels_weight_analyze/0.2_0.2_0.6/au_303593.xlsx","au_303593")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HYPERLINK("./new_k5/query_cmdrels_weight_analyze/0.2_0.2_0.6/au_303849.xlsx","au_303849")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HYPERLINK("./new_k5/query_cmdrels_weight_analyze/0.2_0.2_0.6/au_307541.xlsx","au_307541")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HYPERLINK("./new_k5/query_cmdrels_weight_analyze/0.2_0.2_0.6/au_307688.xlsx","au_307688")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HYPERLINK("./new_k5/query_cmdrels_weight_analyze/0.2_0.2_0.6/au_309047.xlsx","au_309047")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HYPERLINK("./new_k5/query_cmdrels_weight_analyze/0.2_0.2_0.6/au_311558.xlsx","au_311558")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0.60416666666666663</v>
      </c>
    </row>
    <row r="97" spans="1:7" x14ac:dyDescent="0.15">
      <c r="A97" t="str">
        <f>HYPERLINK("./new_k5/query_cmdrels_weight_analyze/0.2_0.2_0.6/au_318973.xlsx","au_318973")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HYPERLINK("./new_k5/query_cmdrels_weight_analyze/0.2_0.2_0.6/au_3205.xlsx","au_3205")</f>
        <v>au_3205</v>
      </c>
      <c r="B98">
        <v>0.5</v>
      </c>
      <c r="C98">
        <v>0.5</v>
      </c>
      <c r="D98">
        <v>0.5</v>
      </c>
      <c r="E98">
        <v>0.83333333333333326</v>
      </c>
      <c r="F98">
        <v>0.5</v>
      </c>
      <c r="G98">
        <v>0.83333333333333326</v>
      </c>
    </row>
    <row r="99" spans="1:7" x14ac:dyDescent="0.15">
      <c r="A99" t="str">
        <f>HYPERLINK("./new_k5/query_cmdrels_weight_analyze/0.2_0.2_0.6/au_323131.xlsx","au_323131")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0.55555555555555547</v>
      </c>
      <c r="F99">
        <v>0.33333333333333331</v>
      </c>
      <c r="G99">
        <v>0.55555555555555547</v>
      </c>
    </row>
    <row r="100" spans="1:7" x14ac:dyDescent="0.15">
      <c r="A100" t="str">
        <f>HYPERLINK("./new_k5/query_cmdrels_weight_analyze/0.2_0.2_0.6/au_323392.xlsx","au_323392")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HYPERLINK("./new_k5/query_cmdrels_weight_analyze/0.2_0.2_0.6/au_325368.xlsx","au_325368")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HYPERLINK("./new_k5/query_cmdrels_weight_analyze/0.2_0.2_0.6/au_328162.xlsx","au_328162")</f>
        <v>au_328162</v>
      </c>
      <c r="B102">
        <v>0.33333333333333331</v>
      </c>
      <c r="C102">
        <v>0.33333333333333331</v>
      </c>
      <c r="D102">
        <v>1</v>
      </c>
      <c r="E102">
        <v>0.66666666666666663</v>
      </c>
      <c r="F102">
        <v>1</v>
      </c>
      <c r="G102">
        <v>0.66666666666666663</v>
      </c>
    </row>
    <row r="103" spans="1:7" x14ac:dyDescent="0.15">
      <c r="A103" t="str">
        <f>HYPERLINK("./new_k5/query_cmdrels_weight_analyze/0.2_0.2_0.6/au_330148.xlsx","au_330148")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HYPERLINK("./new_k5/query_cmdrels_weight_analyze/0.2_0.2_0.6/au_332315.xlsx","au_332315")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HYPERLINK("./new_k5/query_cmdrels_weight_analyze/0.2_0.2_0.6/au_334081.xlsx","au_334081")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HYPERLINK("./new_k5/query_cmdrels_weight_analyze/0.2_0.2_0.6/au_34077.xlsx","au_34077")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0.5</v>
      </c>
      <c r="F106">
        <v>0.33333333333333331</v>
      </c>
      <c r="G106">
        <v>0.6333333333333333</v>
      </c>
    </row>
    <row r="107" spans="1:7" x14ac:dyDescent="0.15">
      <c r="A107" t="str">
        <f>HYPERLINK("./new_k5/query_cmdrels_weight_analyze/0.2_0.2_0.6/au_341428.xlsx","au_341428")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0.42857142857142849</v>
      </c>
      <c r="F107">
        <v>0.5714285714285714</v>
      </c>
      <c r="G107">
        <v>0.42857142857142849</v>
      </c>
    </row>
    <row r="108" spans="1:7" x14ac:dyDescent="0.15">
      <c r="A108" t="str">
        <f>HYPERLINK("./new_k5/query_cmdrels_weight_analyze/0.2_0.2_0.6/au_341584.xlsx","au_341584")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HYPERLINK("./new_k5/query_cmdrels_weight_analyze/0.2_0.2_0.6/au_346864.xlsx","au_346864")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0.2857142857142857</v>
      </c>
      <c r="F109">
        <v>0.23809523809523811</v>
      </c>
      <c r="G109">
        <v>0.39285714285714279</v>
      </c>
    </row>
    <row r="110" spans="1:7" x14ac:dyDescent="0.15">
      <c r="A110" t="str">
        <f>HYPERLINK("./new_k5/query_cmdrels_weight_analyze/0.2_0.2_0.6/au_351765.xlsx","au_351765")</f>
        <v>au_351765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0.1</v>
      </c>
    </row>
    <row r="111" spans="1:7" x14ac:dyDescent="0.15">
      <c r="A111" t="str">
        <f>HYPERLINK("./new_k5/query_cmdrels_weight_analyze/0.2_0.2_0.6/au_35922.xlsx","au_35922")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HYPERLINK("./new_k5/query_cmdrels_weight_analyze/0.2_0.2_0.6/au_359856.xlsx","au_359856")</f>
        <v>au_359856</v>
      </c>
      <c r="B112">
        <v>0.25</v>
      </c>
      <c r="C112">
        <v>0.25</v>
      </c>
      <c r="D112">
        <v>0.75</v>
      </c>
      <c r="E112">
        <v>0.75</v>
      </c>
      <c r="F112">
        <v>0.95</v>
      </c>
      <c r="G112">
        <v>0.75</v>
      </c>
    </row>
    <row r="113" spans="1:7" x14ac:dyDescent="0.15">
      <c r="A113" t="str">
        <f>HYPERLINK("./new_k5/query_cmdrels_weight_analyze/0.2_0.2_0.6/au_360423.xlsx","au_360423")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HYPERLINK("./new_k5/query_cmdrels_weight_analyze/0.2_0.2_0.6/au_36287.xlsx","au_36287")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HYPERLINK("./new_k5/query_cmdrels_weight_analyze/0.2_0.2_0.6/au_366742.xlsx","au_366742")</f>
        <v>au_366742</v>
      </c>
      <c r="B115">
        <v>0</v>
      </c>
      <c r="C115">
        <v>0</v>
      </c>
      <c r="D115">
        <v>0</v>
      </c>
      <c r="E115">
        <v>8.3333333333333329E-2</v>
      </c>
      <c r="F115">
        <v>0</v>
      </c>
      <c r="G115">
        <v>0.20833333333333329</v>
      </c>
    </row>
    <row r="116" spans="1:7" x14ac:dyDescent="0.15">
      <c r="A116" t="str">
        <f>HYPERLINK("./new_k5/query_cmdrels_weight_analyze/0.2_0.2_0.6/au_377937.xlsx","au_377937")</f>
        <v>au_377937</v>
      </c>
      <c r="B116">
        <v>0.25</v>
      </c>
      <c r="C116">
        <v>0.25</v>
      </c>
      <c r="D116">
        <v>0.5</v>
      </c>
      <c r="E116">
        <v>0.75</v>
      </c>
      <c r="F116">
        <v>0.5</v>
      </c>
      <c r="G116">
        <v>0.75</v>
      </c>
    </row>
    <row r="117" spans="1:7" x14ac:dyDescent="0.15">
      <c r="A117" t="str">
        <f>HYPERLINK("./new_k5/query_cmdrels_weight_analyze/0.2_0.2_0.6/au_383997.xlsx","au_383997")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0.42857142857142849</v>
      </c>
      <c r="F117">
        <v>0.2857142857142857</v>
      </c>
      <c r="G117">
        <v>0.54285714285714282</v>
      </c>
    </row>
    <row r="118" spans="1:7" x14ac:dyDescent="0.15">
      <c r="A118" t="str">
        <f>HYPERLINK("./new_k5/query_cmdrels_weight_analyze/0.2_0.2_0.6/au_3883.xlsx","au_3883")</f>
        <v>au_3883</v>
      </c>
      <c r="B118">
        <v>0.25</v>
      </c>
      <c r="C118">
        <v>0.25</v>
      </c>
      <c r="D118">
        <v>0.25</v>
      </c>
      <c r="E118">
        <v>0.5</v>
      </c>
      <c r="F118">
        <v>0.375</v>
      </c>
      <c r="G118">
        <v>0.65</v>
      </c>
    </row>
    <row r="119" spans="1:7" x14ac:dyDescent="0.15">
      <c r="A119" t="str">
        <f>HYPERLINK("./new_k5/query_cmdrels_weight_analyze/0.2_0.2_0.6/au_396883.xlsx","au_396883")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HYPERLINK("./new_k5/query_cmdrels_weight_analyze/0.2_0.2_0.6/au_39760.xlsx","au_39760")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HYPERLINK("./new_k5/query_cmdrels_weight_analyze/0.2_0.2_0.6/au_398818.xlsx","au_398818")</f>
        <v>au_398818</v>
      </c>
      <c r="B121">
        <v>0.5</v>
      </c>
      <c r="C121">
        <v>0.5</v>
      </c>
      <c r="D121">
        <v>0.83333333333333326</v>
      </c>
      <c r="E121">
        <v>0.5</v>
      </c>
      <c r="F121">
        <v>0.83333333333333326</v>
      </c>
      <c r="G121">
        <v>0.75</v>
      </c>
    </row>
    <row r="122" spans="1:7" x14ac:dyDescent="0.15">
      <c r="A122" t="str">
        <f>HYPERLINK("./new_k5/query_cmdrels_weight_analyze/0.2_0.2_0.6/au_400807.xlsx","au_400807")</f>
        <v>au_400807</v>
      </c>
      <c r="B122">
        <v>0</v>
      </c>
      <c r="C122">
        <v>0.33333333333333331</v>
      </c>
      <c r="D122">
        <v>0.16666666666666671</v>
      </c>
      <c r="E122">
        <v>0.55555555555555547</v>
      </c>
      <c r="F122">
        <v>0.16666666666666671</v>
      </c>
      <c r="G122">
        <v>0.80555555555555547</v>
      </c>
    </row>
    <row r="123" spans="1:7" x14ac:dyDescent="0.15">
      <c r="A123" t="str">
        <f>HYPERLINK("./new_k5/query_cmdrels_weight_analyze/0.2_0.2_0.6/au_408611.xlsx","au_408611")</f>
        <v>au_408611</v>
      </c>
      <c r="B123">
        <v>0.33333333333333331</v>
      </c>
      <c r="C123">
        <v>0</v>
      </c>
      <c r="D123">
        <v>0.33333333333333331</v>
      </c>
      <c r="E123">
        <v>0.16666666666666671</v>
      </c>
      <c r="F123">
        <v>0.33333333333333331</v>
      </c>
      <c r="G123">
        <v>0.16666666666666671</v>
      </c>
    </row>
    <row r="124" spans="1:7" x14ac:dyDescent="0.15">
      <c r="A124" t="str">
        <f>HYPERLINK("./new_k5/query_cmdrels_weight_analyze/0.2_0.2_0.6/au_414737.xlsx","au_414737")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HYPERLINK("./new_k5/query_cmdrels_weight_analyze/0.2_0.2_0.6/au_420722.xlsx","au_420722")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HYPERLINK("./new_k5/query_cmdrels_weight_analyze/0.2_0.2_0.6/au_423942.xlsx","au_423942")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0.55555555555555547</v>
      </c>
      <c r="F126">
        <v>0.8666666666666667</v>
      </c>
      <c r="G126">
        <v>0.55555555555555547</v>
      </c>
    </row>
    <row r="127" spans="1:7" x14ac:dyDescent="0.15">
      <c r="A127" t="str">
        <f>HYPERLINK("./new_k5/query_cmdrels_weight_analyze/0.2_0.2_0.6/au_430382.xlsx","au_430382")</f>
        <v>au_430382</v>
      </c>
      <c r="B127">
        <v>0</v>
      </c>
      <c r="C127">
        <v>0.25</v>
      </c>
      <c r="D127">
        <v>0.29166666666666657</v>
      </c>
      <c r="E127">
        <v>0.41666666666666657</v>
      </c>
      <c r="F127">
        <v>0.29166666666666657</v>
      </c>
      <c r="G127">
        <v>0.41666666666666657</v>
      </c>
    </row>
    <row r="128" spans="1:7" x14ac:dyDescent="0.15">
      <c r="A128" t="str">
        <f>HYPERLINK("./new_k5/query_cmdrels_weight_analyze/0.2_0.2_0.6/au_432836.xlsx","au_432836")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HYPERLINK("./new_k5/query_cmdrels_weight_analyze/0.2_0.2_0.6/au_440326.xlsx","au_440326")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HYPERLINK("./new_k5/query_cmdrels_weight_analyze/0.2_0.2_0.6/au_442914.xlsx","au_442914")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HYPERLINK("./new_k5/query_cmdrels_weight_analyze/0.2_0.2_0.6/au_443227.xlsx","au_443227")</f>
        <v>au_443227</v>
      </c>
      <c r="B131">
        <v>0.5</v>
      </c>
      <c r="C131">
        <v>0</v>
      </c>
      <c r="D131">
        <v>0.5</v>
      </c>
      <c r="E131">
        <v>0.25</v>
      </c>
      <c r="F131">
        <v>0.5</v>
      </c>
      <c r="G131">
        <v>0.25</v>
      </c>
    </row>
    <row r="132" spans="1:7" x14ac:dyDescent="0.15">
      <c r="A132" t="str">
        <f>HYPERLINK("./new_k5/query_cmdrels_weight_analyze/0.2_0.2_0.6/au_44534.xlsx","au_44534")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HYPERLINK("./new_k5/query_cmdrels_weight_analyze/0.2_0.2_0.6/au_451805.xlsx","au_451805")</f>
        <v>au_451805</v>
      </c>
      <c r="B133">
        <v>0.33333333333333331</v>
      </c>
      <c r="C133">
        <v>0.33333333333333331</v>
      </c>
      <c r="D133">
        <v>0.33333333333333331</v>
      </c>
      <c r="E133">
        <v>0.33333333333333331</v>
      </c>
      <c r="F133">
        <v>0.33333333333333331</v>
      </c>
      <c r="G133">
        <v>0.33333333333333331</v>
      </c>
    </row>
    <row r="134" spans="1:7" x14ac:dyDescent="0.15">
      <c r="A134" t="str">
        <f>HYPERLINK("./new_k5/query_cmdrels_weight_analyze/0.2_0.2_0.6/au_464264.xlsx","au_464264")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0.16666666666666671</v>
      </c>
    </row>
    <row r="135" spans="1:7" x14ac:dyDescent="0.15">
      <c r="A135" t="str">
        <f>HYPERLINK("./new_k5/query_cmdrels_weight_analyze/0.2_0.2_0.6/au_468808.xlsx","au_468808")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HYPERLINK("./new_k5/query_cmdrels_weight_analyze/0.2_0.2_0.6/au_469143.xlsx","au_469143")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HYPERLINK("./new_k5/query_cmdrels_weight_analyze/0.2_0.2_0.6/au_470237.xlsx","au_470237")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HYPERLINK("./new_k5/query_cmdrels_weight_analyze/0.2_0.2_0.6/au_473037.xlsx","au_473037")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</v>
      </c>
    </row>
    <row r="139" spans="1:7" x14ac:dyDescent="0.15">
      <c r="A139" t="str">
        <f>HYPERLINK("./new_k5/query_cmdrels_weight_analyze/0.2_0.2_0.6/au_48362.xlsx","au_48362")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HYPERLINK("./new_k5/query_cmdrels_weight_analyze/0.2_0.2_0.6/au_488435.xlsx","au_488435")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HYPERLINK("./new_k5/query_cmdrels_weight_analyze/0.2_0.2_0.6/au_493826.xlsx","au_493826")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HYPERLINK("./new_k5/query_cmdrels_weight_analyze/0.2_0.2_0.6/au_502110.xlsx","au_502110")</f>
        <v>au_502110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</row>
    <row r="143" spans="1:7" x14ac:dyDescent="0.15">
      <c r="A143" t="str">
        <f>HYPERLINK("./new_k5/query_cmdrels_weight_analyze/0.2_0.2_0.6/au_50344.xlsx","au_50344")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HYPERLINK("./new_k5/query_cmdrels_weight_analyze/0.2_0.2_0.6/au_511467.xlsx","au_511467")</f>
        <v>au_511467</v>
      </c>
      <c r="B144">
        <v>0</v>
      </c>
      <c r="C144">
        <v>0.16666666666666671</v>
      </c>
      <c r="D144">
        <v>0.19444444444444439</v>
      </c>
      <c r="E144">
        <v>0.16666666666666671</v>
      </c>
      <c r="F144">
        <v>0.19444444444444439</v>
      </c>
      <c r="G144">
        <v>0.16666666666666671</v>
      </c>
    </row>
    <row r="145" spans="1:7" x14ac:dyDescent="0.15">
      <c r="A145" t="str">
        <f>HYPERLINK("./new_k5/query_cmdrels_weight_analyze/0.2_0.2_0.6/au_513046.xlsx","au_513046")</f>
        <v>au_513046</v>
      </c>
      <c r="B145">
        <v>0.25</v>
      </c>
      <c r="C145">
        <v>0</v>
      </c>
      <c r="D145">
        <v>0.5</v>
      </c>
      <c r="E145">
        <v>0.29166666666666657</v>
      </c>
      <c r="F145">
        <v>0.5</v>
      </c>
      <c r="G145">
        <v>0.44166666666666671</v>
      </c>
    </row>
    <row r="146" spans="1:7" x14ac:dyDescent="0.15">
      <c r="A146" t="str">
        <f>HYPERLINK("./new_k5/query_cmdrels_weight_analyze/0.2_0.2_0.6/au_517354.xlsx","au_517354")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0.14285714285714279</v>
      </c>
      <c r="F146">
        <v>0.2142857142857143</v>
      </c>
      <c r="G146">
        <v>0.3</v>
      </c>
    </row>
    <row r="147" spans="1:7" x14ac:dyDescent="0.15">
      <c r="A147" t="str">
        <f>HYPERLINK("./new_k5/query_cmdrels_weight_analyze/0.2_0.2_0.6/au_522431.xlsx","au_522431")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0.35333333333333328</v>
      </c>
    </row>
    <row r="148" spans="1:7" x14ac:dyDescent="0.15">
      <c r="A148" t="str">
        <f>HYPERLINK("./new_k5/query_cmdrels_weight_analyze/0.2_0.2_0.6/au_52773.xlsx","au_52773")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0.05</v>
      </c>
    </row>
    <row r="149" spans="1:7" x14ac:dyDescent="0.15">
      <c r="A149" t="str">
        <f>HYPERLINK("./new_k5/query_cmdrels_weight_analyze/0.2_0.2_0.6/au_528411.xlsx","au_528411")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HYPERLINK("./new_k5/query_cmdrels_weight_analyze/0.2_0.2_0.6/au_53263.xlsx","au_53263")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0.75</v>
      </c>
    </row>
    <row r="151" spans="1:7" x14ac:dyDescent="0.15">
      <c r="A151" t="str">
        <f>HYPERLINK("./new_k5/query_cmdrels_weight_analyze/0.2_0.2_0.6/au_53444.xlsx","au_53444")</f>
        <v>au_53444</v>
      </c>
      <c r="B151">
        <v>0.5</v>
      </c>
      <c r="C151">
        <v>0</v>
      </c>
      <c r="D151">
        <v>0.5</v>
      </c>
      <c r="E151">
        <v>0</v>
      </c>
      <c r="F151">
        <v>0.5</v>
      </c>
      <c r="G151">
        <v>0</v>
      </c>
    </row>
    <row r="152" spans="1:7" x14ac:dyDescent="0.15">
      <c r="A152" t="str">
        <f>HYPERLINK("./new_k5/query_cmdrels_weight_analyze/0.2_0.2_0.6/au_538208.xlsx","au_538208")</f>
        <v>au_538208</v>
      </c>
      <c r="B152">
        <v>0.125</v>
      </c>
      <c r="C152">
        <v>0.125</v>
      </c>
      <c r="D152">
        <v>0.375</v>
      </c>
      <c r="E152">
        <v>0.375</v>
      </c>
      <c r="F152">
        <v>0.5</v>
      </c>
      <c r="G152">
        <v>0.5</v>
      </c>
    </row>
    <row r="153" spans="1:7" x14ac:dyDescent="0.15">
      <c r="A153" t="str">
        <f>HYPERLINK("./new_k5/query_cmdrels_weight_analyze/0.2_0.2_0.6/au_53822.xlsx","au_53822")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HYPERLINK("./new_k5/query_cmdrels_weight_analyze/0.2_0.2_0.6/au_539243.xlsx","au_539243")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0.33333333333333331</v>
      </c>
    </row>
    <row r="155" spans="1:7" x14ac:dyDescent="0.15">
      <c r="A155" t="str">
        <f>HYPERLINK("./new_k5/query_cmdrels_weight_analyze/0.2_0.2_0.6/au_558280.xlsx","au_558280")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HYPERLINK("./new_k5/query_cmdrels_weight_analyze/0.2_0.2_0.6/au_558669.xlsx","au_558669")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HYPERLINK("./new_k5/query_cmdrels_weight_analyze/0.2_0.2_0.6/au_55868.xlsx","au_55868")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HYPERLINK("./new_k5/query_cmdrels_weight_analyze/0.2_0.2_0.6/au_561.xlsx","au_561")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0.5</v>
      </c>
    </row>
    <row r="159" spans="1:7" x14ac:dyDescent="0.15">
      <c r="A159" t="str">
        <f>HYPERLINK("./new_k5/query_cmdrels_weight_analyze/0.2_0.2_0.6/au_564567.xlsx","au_564567")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HYPERLINK("./new_k5/query_cmdrels_weight_analyze/0.2_0.2_0.6/au_57994.xlsx","au_57994")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0.54285714285714282</v>
      </c>
    </row>
    <row r="161" spans="1:7" x14ac:dyDescent="0.15">
      <c r="A161" t="str">
        <f>HYPERLINK("./new_k5/query_cmdrels_weight_analyze/0.2_0.2_0.6/au_589210.xlsx","au_589210")</f>
        <v>au_589210</v>
      </c>
      <c r="B161">
        <v>0.25</v>
      </c>
      <c r="C161">
        <v>0.25</v>
      </c>
      <c r="D161">
        <v>0.5</v>
      </c>
      <c r="E161">
        <v>0.41666666666666657</v>
      </c>
      <c r="F161">
        <v>0.5</v>
      </c>
      <c r="G161">
        <v>0.41666666666666657</v>
      </c>
    </row>
    <row r="162" spans="1:7" x14ac:dyDescent="0.15">
      <c r="A162" t="str">
        <f>HYPERLINK("./new_k5/query_cmdrels_weight_analyze/0.2_0.2_0.6/au_5911.xlsx","au_5911")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HYPERLINK("./new_k5/query_cmdrels_weight_analyze/0.2_0.2_0.6/au_59356.xlsx","au_59356")</f>
        <v>au_59356</v>
      </c>
      <c r="B163">
        <v>0</v>
      </c>
      <c r="C163">
        <v>0</v>
      </c>
      <c r="D163">
        <v>0.16666666666666671</v>
      </c>
      <c r="E163">
        <v>0.25</v>
      </c>
      <c r="F163">
        <v>0.16666666666666671</v>
      </c>
      <c r="G163">
        <v>0.25</v>
      </c>
    </row>
    <row r="164" spans="1:7" x14ac:dyDescent="0.15">
      <c r="A164" t="str">
        <f>HYPERLINK("./new_k5/query_cmdrels_weight_analyze/0.2_0.2_0.6/au_609850.xlsx","au_609850")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HYPERLINK("./new_k5/query_cmdrels_weight_analyze/0.2_0.2_0.6/au_61408.xlsx","au_61408")</f>
        <v>au_61408</v>
      </c>
      <c r="B165">
        <v>0</v>
      </c>
      <c r="C165">
        <v>0.33333333333333331</v>
      </c>
      <c r="D165">
        <v>0.16666666666666671</v>
      </c>
      <c r="E165">
        <v>0.55555555555555547</v>
      </c>
      <c r="F165">
        <v>0.16666666666666671</v>
      </c>
      <c r="G165">
        <v>0.55555555555555547</v>
      </c>
    </row>
    <row r="166" spans="1:7" x14ac:dyDescent="0.15">
      <c r="A166" t="str">
        <f>HYPERLINK("./new_k5/query_cmdrels_weight_analyze/0.2_0.2_0.6/au_617850.xlsx","au_617850")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HYPERLINK("./new_k5/query_cmdrels_weight_analyze/0.2_0.2_0.6/au_62073.xlsx","au_62073")</f>
        <v>au_62073</v>
      </c>
      <c r="B167">
        <v>0</v>
      </c>
      <c r="C167">
        <v>0.2</v>
      </c>
      <c r="D167">
        <v>0.23333333333333331</v>
      </c>
      <c r="E167">
        <v>0.33333333333333331</v>
      </c>
      <c r="F167">
        <v>0.23333333333333331</v>
      </c>
      <c r="G167">
        <v>0.45333333333333331</v>
      </c>
    </row>
    <row r="168" spans="1:7" x14ac:dyDescent="0.15">
      <c r="A168" t="str">
        <f>HYPERLINK("./new_k5/query_cmdrels_weight_analyze/0.2_0.2_0.6/au_620930.xlsx","au_620930")</f>
        <v>au_620930</v>
      </c>
      <c r="B168">
        <v>0.2</v>
      </c>
      <c r="C168">
        <v>0.2</v>
      </c>
      <c r="D168">
        <v>0.4</v>
      </c>
      <c r="E168">
        <v>0.4</v>
      </c>
      <c r="F168">
        <v>0.4</v>
      </c>
      <c r="G168">
        <v>0.55000000000000004</v>
      </c>
    </row>
    <row r="169" spans="1:7" x14ac:dyDescent="0.15">
      <c r="A169" t="str">
        <f>HYPERLINK("./new_k5/query_cmdrels_weight_analyze/0.2_0.2_0.6/au_62492.xlsx","au_62492")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HYPERLINK("./new_k5/query_cmdrels_weight_analyze/0.2_0.2_0.6/au_626078.xlsx","au_626078")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HYPERLINK("./new_k5/query_cmdrels_weight_analyze/0.2_0.2_0.6/au_636944.xlsx","au_636944")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HYPERLINK("./new_k5/query_cmdrels_weight_analyze/0.2_0.2_0.6/au_648603.xlsx","au_648603")</f>
        <v>au_648603</v>
      </c>
      <c r="B172">
        <v>0.25</v>
      </c>
      <c r="C172">
        <v>0.25</v>
      </c>
      <c r="D172">
        <v>0.25</v>
      </c>
      <c r="E172">
        <v>0.41666666666666657</v>
      </c>
      <c r="F172">
        <v>0.25</v>
      </c>
      <c r="G172">
        <v>0.56666666666666665</v>
      </c>
    </row>
    <row r="173" spans="1:7" x14ac:dyDescent="0.15">
      <c r="A173" t="str">
        <f>HYPERLINK("./new_k5/query_cmdrels_weight_analyze/0.2_0.2_0.6/au_65331.xlsx","au_65331")</f>
        <v>au_65331</v>
      </c>
      <c r="B173">
        <v>0</v>
      </c>
      <c r="C173">
        <v>0</v>
      </c>
      <c r="D173">
        <v>8.3333333333333329E-2</v>
      </c>
      <c r="E173">
        <v>0.19444444444444439</v>
      </c>
      <c r="F173">
        <v>0.16666666666666671</v>
      </c>
      <c r="G173">
        <v>0.31944444444444442</v>
      </c>
    </row>
    <row r="174" spans="1:7" x14ac:dyDescent="0.15">
      <c r="A174" t="str">
        <f>HYPERLINK("./new_k5/query_cmdrels_weight_analyze/0.2_0.2_0.6/au_66000.xlsx","au_66000")</f>
        <v>au_66000</v>
      </c>
      <c r="B174">
        <v>0</v>
      </c>
      <c r="C174">
        <v>0.2</v>
      </c>
      <c r="D174">
        <v>0</v>
      </c>
      <c r="E174">
        <v>0.6</v>
      </c>
      <c r="F174">
        <v>0</v>
      </c>
      <c r="G174">
        <v>0.76</v>
      </c>
    </row>
    <row r="175" spans="1:7" x14ac:dyDescent="0.15">
      <c r="A175" t="str">
        <f>HYPERLINK("./new_k5/query_cmdrels_weight_analyze/0.2_0.2_0.6/au_660846.xlsx","au_660846")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HYPERLINK("./new_k5/query_cmdrels_weight_analyze/0.2_0.2_0.6/au_662935.xlsx","au_662935")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0.25</v>
      </c>
    </row>
    <row r="177" spans="1:7" x14ac:dyDescent="0.15">
      <c r="A177" t="str">
        <f>HYPERLINK("./new_k5/query_cmdrels_weight_analyze/0.2_0.2_0.6/au_67663.xlsx","au_67663")</f>
        <v>au_67663</v>
      </c>
      <c r="B177">
        <v>0</v>
      </c>
      <c r="C177">
        <v>0.25</v>
      </c>
      <c r="D177">
        <v>0.29166666666666657</v>
      </c>
      <c r="E177">
        <v>0.5</v>
      </c>
      <c r="F177">
        <v>0.29166666666666657</v>
      </c>
      <c r="G177">
        <v>0.5</v>
      </c>
    </row>
    <row r="178" spans="1:7" x14ac:dyDescent="0.15">
      <c r="A178" t="str">
        <f>HYPERLINK("./new_k5/query_cmdrels_weight_analyze/0.2_0.2_0.6/au_68028.xlsx","au_68028")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0.2857142857142857</v>
      </c>
      <c r="F178">
        <v>0.37142857142857139</v>
      </c>
      <c r="G178">
        <v>0.2857142857142857</v>
      </c>
    </row>
    <row r="179" spans="1:7" x14ac:dyDescent="0.15">
      <c r="A179" t="str">
        <f>HYPERLINK("./new_k5/query_cmdrels_weight_analyze/0.2_0.2_0.6/au_681312.xlsx","au_681312")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0.42857142857142849</v>
      </c>
      <c r="F179">
        <v>0.42857142857142849</v>
      </c>
      <c r="G179">
        <v>0.5714285714285714</v>
      </c>
    </row>
    <row r="180" spans="1:7" x14ac:dyDescent="0.15">
      <c r="A180" t="str">
        <f>HYPERLINK("./new_k5/query_cmdrels_weight_analyze/0.2_0.2_0.6/au_686239.xlsx","au_686239")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HYPERLINK("./new_k5/query_cmdrels_weight_analyze/0.2_0.2_0.6/au_68809.xlsx","au_68809")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0.20833333333333329</v>
      </c>
    </row>
    <row r="182" spans="1:7" x14ac:dyDescent="0.15">
      <c r="A182" t="str">
        <f>HYPERLINK("./new_k5/query_cmdrels_weight_analyze/0.2_0.2_0.6/au_69556.xlsx","au_69556")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HYPERLINK("./new_k5/query_cmdrels_weight_analyze/0.2_0.2_0.6/au_698993.xlsx","au_698993")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HYPERLINK("./new_k5/query_cmdrels_weight_analyze/0.2_0.2_0.6/au_707881.xlsx","au_707881")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0.16666666666666671</v>
      </c>
    </row>
    <row r="185" spans="1:7" x14ac:dyDescent="0.15">
      <c r="A185" t="str">
        <f>HYPERLINK("./new_k5/query_cmdrels_weight_analyze/0.2_0.2_0.6/au_709594.xlsx","au_709594")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HYPERLINK("./new_k5/query_cmdrels_weight_analyze/0.2_0.2_0.6/au_71309.xlsx","au_71309")</f>
        <v>au_71309</v>
      </c>
      <c r="B186">
        <v>0.125</v>
      </c>
      <c r="C186">
        <v>0.125</v>
      </c>
      <c r="D186">
        <v>0.20833333333333329</v>
      </c>
      <c r="E186">
        <v>0.20833333333333329</v>
      </c>
      <c r="F186">
        <v>0.20833333333333329</v>
      </c>
      <c r="G186">
        <v>0.30208333333333331</v>
      </c>
    </row>
    <row r="187" spans="1:7" x14ac:dyDescent="0.15">
      <c r="A187" t="str">
        <f>HYPERLINK("./new_k5/query_cmdrels_weight_analyze/0.2_0.2_0.6/au_7138.xlsx","au_7138")</f>
        <v>au_7138</v>
      </c>
      <c r="B187">
        <v>0.25</v>
      </c>
      <c r="C187">
        <v>0</v>
      </c>
      <c r="D187">
        <v>0.75</v>
      </c>
      <c r="E187">
        <v>8.3333333333333329E-2</v>
      </c>
      <c r="F187">
        <v>0.75</v>
      </c>
      <c r="G187">
        <v>0.20833333333333329</v>
      </c>
    </row>
    <row r="188" spans="1:7" x14ac:dyDescent="0.15">
      <c r="A188" t="str">
        <f>HYPERLINK("./new_k5/query_cmdrels_weight_analyze/0.2_0.2_0.6/au_72549.xlsx","au_72549")</f>
        <v>au_72549</v>
      </c>
      <c r="B188">
        <v>0</v>
      </c>
      <c r="C188">
        <v>0</v>
      </c>
      <c r="D188">
        <v>0</v>
      </c>
      <c r="E188">
        <v>8.3333333333333329E-2</v>
      </c>
      <c r="F188">
        <v>0</v>
      </c>
      <c r="G188">
        <v>8.3333333333333329E-2</v>
      </c>
    </row>
    <row r="189" spans="1:7" x14ac:dyDescent="0.15">
      <c r="A189" t="str">
        <f>HYPERLINK("./new_k5/query_cmdrels_weight_analyze/0.2_0.2_0.6/au_740805.xlsx","au_740805")</f>
        <v>au_740805</v>
      </c>
      <c r="B189">
        <v>0.25</v>
      </c>
      <c r="C189">
        <v>0</v>
      </c>
      <c r="D189">
        <v>0.41666666666666657</v>
      </c>
      <c r="E189">
        <v>0.29166666666666657</v>
      </c>
      <c r="F189">
        <v>0.41666666666666657</v>
      </c>
      <c r="G189">
        <v>0.29166666666666657</v>
      </c>
    </row>
    <row r="190" spans="1:7" x14ac:dyDescent="0.15">
      <c r="A190" t="str">
        <f>HYPERLINK("./new_k5/query_cmdrels_weight_analyze/0.2_0.2_0.6/au_760796.xlsx","au_760796")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0.4</v>
      </c>
    </row>
    <row r="191" spans="1:7" x14ac:dyDescent="0.15">
      <c r="A191" t="str">
        <f>HYPERLINK("./new_k5/query_cmdrels_weight_analyze/0.2_0.2_0.6/au_762846.xlsx","au_762846")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0.43333333333333329</v>
      </c>
    </row>
    <row r="192" spans="1:7" x14ac:dyDescent="0.15">
      <c r="A192" t="str">
        <f>HYPERLINK("./new_k5/query_cmdrels_weight_analyze/0.2_0.2_0.6/au_767786.xlsx","au_767786")</f>
        <v>au_767786</v>
      </c>
      <c r="B192">
        <v>0.2</v>
      </c>
      <c r="C192">
        <v>0.2</v>
      </c>
      <c r="D192">
        <v>0.4</v>
      </c>
      <c r="E192">
        <v>0.4</v>
      </c>
      <c r="F192">
        <v>0.4</v>
      </c>
      <c r="G192">
        <v>0.4</v>
      </c>
    </row>
    <row r="193" spans="1:7" x14ac:dyDescent="0.15">
      <c r="A193" t="str">
        <f>HYPERLINK("./new_k5/query_cmdrels_weight_analyze/0.2_0.2_0.6/au_778906.xlsx","au_778906")</f>
        <v>au_778906</v>
      </c>
      <c r="B193">
        <v>0.2</v>
      </c>
      <c r="C193">
        <v>0.2</v>
      </c>
      <c r="D193">
        <v>0.33333333333333331</v>
      </c>
      <c r="E193">
        <v>0.33333333333333331</v>
      </c>
      <c r="F193">
        <v>0.33333333333333331</v>
      </c>
      <c r="G193">
        <v>0.48333333333333328</v>
      </c>
    </row>
    <row r="194" spans="1:7" x14ac:dyDescent="0.15">
      <c r="A194" t="str">
        <f>HYPERLINK("./new_k5/query_cmdrels_weight_analyze/0.2_0.2_0.6/au_818929.xlsx","au_818929")</f>
        <v>au_818929</v>
      </c>
      <c r="B194">
        <v>0</v>
      </c>
      <c r="C194">
        <v>0.2</v>
      </c>
      <c r="D194">
        <v>0</v>
      </c>
      <c r="E194">
        <v>0.4</v>
      </c>
      <c r="F194">
        <v>0</v>
      </c>
      <c r="G194">
        <v>0.55000000000000004</v>
      </c>
    </row>
    <row r="195" spans="1:7" x14ac:dyDescent="0.15">
      <c r="A195" t="str">
        <f>HYPERLINK("./new_k5/query_cmdrels_weight_analyze/0.2_0.2_0.6/au_844876.xlsx","au_844876")</f>
        <v>au_844876</v>
      </c>
      <c r="B195">
        <v>0.5</v>
      </c>
      <c r="C195">
        <v>0.5</v>
      </c>
      <c r="D195">
        <v>0.5</v>
      </c>
      <c r="E195">
        <v>0.83333333333333326</v>
      </c>
      <c r="F195">
        <v>0.5</v>
      </c>
      <c r="G195">
        <v>0.83333333333333326</v>
      </c>
    </row>
    <row r="196" spans="1:7" x14ac:dyDescent="0.15">
      <c r="A196" t="str">
        <f>HYPERLINK("./new_k5/query_cmdrels_weight_analyze/0.2_0.2_0.6/au_85318.xlsx","au_85318")</f>
        <v>au_85318</v>
      </c>
      <c r="B196">
        <v>0.2</v>
      </c>
      <c r="C196">
        <v>0.2</v>
      </c>
      <c r="D196">
        <v>0.6</v>
      </c>
      <c r="E196">
        <v>0.6</v>
      </c>
      <c r="F196">
        <v>0.6</v>
      </c>
      <c r="G196">
        <v>0.6</v>
      </c>
    </row>
    <row r="197" spans="1:7" x14ac:dyDescent="0.15">
      <c r="A197" t="str">
        <f>HYPERLINK("./new_k5/query_cmdrels_weight_analyze/0.2_0.2_0.6/au_854332.xlsx","au_854332")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HYPERLINK("./new_k5/query_cmdrels_weight_analyze/0.2_0.2_0.6/au_854373.xlsx","au_854373")</f>
        <v>au_854373</v>
      </c>
      <c r="B198">
        <v>0.33333333333333331</v>
      </c>
      <c r="C198">
        <v>0</v>
      </c>
      <c r="D198">
        <v>0.55555555555555547</v>
      </c>
      <c r="E198">
        <v>0.38888888888888878</v>
      </c>
      <c r="F198">
        <v>0.80555555555555547</v>
      </c>
      <c r="G198">
        <v>0.38888888888888878</v>
      </c>
    </row>
    <row r="199" spans="1:7" x14ac:dyDescent="0.15">
      <c r="A199" t="str">
        <f>HYPERLINK("./new_k5/query_cmdrels_weight_analyze/0.2_0.2_0.6/au_86843.xlsx","au_86843")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HYPERLINK("./new_k5/query_cmdrels_weight_analyze/0.2_0.2_0.6/au_88108.xlsx","au_88108")</f>
        <v>au_88108</v>
      </c>
      <c r="B200">
        <v>0</v>
      </c>
      <c r="C200">
        <v>0</v>
      </c>
      <c r="D200">
        <v>0.1</v>
      </c>
      <c r="E200">
        <v>0</v>
      </c>
      <c r="F200">
        <v>0.1</v>
      </c>
      <c r="G200">
        <v>0.04</v>
      </c>
    </row>
    <row r="201" spans="1:7" x14ac:dyDescent="0.15">
      <c r="A201" t="str">
        <f>HYPERLINK("./new_k5/query_cmdrels_weight_analyze/0.2_0.2_0.6/au_90214.xlsx","au_90214")</f>
        <v>au_90214</v>
      </c>
      <c r="B201">
        <v>0</v>
      </c>
      <c r="C201">
        <v>0</v>
      </c>
      <c r="D201">
        <v>0.16666666666666671</v>
      </c>
      <c r="E201">
        <v>0.1111111111111111</v>
      </c>
      <c r="F201">
        <v>0.16666666666666671</v>
      </c>
      <c r="G201">
        <v>0.1111111111111111</v>
      </c>
    </row>
    <row r="202" spans="1:7" x14ac:dyDescent="0.15">
      <c r="A202" t="str">
        <f>HYPERLINK("./new_k5/query_cmdrels_weight_analyze/0.2_0.2_0.6/au_90339.xlsx","au_90339")</f>
        <v>au_90339</v>
      </c>
      <c r="B202">
        <v>0</v>
      </c>
      <c r="C202">
        <v>0.14285714285714279</v>
      </c>
      <c r="D202">
        <v>4.7619047619047623E-2</v>
      </c>
      <c r="E202">
        <v>0.23809523809523811</v>
      </c>
      <c r="F202">
        <v>0.2047619047619047</v>
      </c>
      <c r="G202">
        <v>0.23809523809523811</v>
      </c>
    </row>
    <row r="203" spans="1:7" x14ac:dyDescent="0.15">
      <c r="A203" t="str">
        <f>HYPERLINK("./new_k5/query_cmdrels_weight_analyze/0.2_0.2_0.6/au_91286.xlsx","au_91286")</f>
        <v>au_91286</v>
      </c>
      <c r="B203">
        <v>0.5</v>
      </c>
      <c r="C203">
        <v>0</v>
      </c>
      <c r="D203">
        <v>0.5</v>
      </c>
      <c r="E203">
        <v>0.16666666666666671</v>
      </c>
      <c r="F203">
        <v>0.5</v>
      </c>
      <c r="G203">
        <v>0.16666666666666671</v>
      </c>
    </row>
    <row r="204" spans="1:7" x14ac:dyDescent="0.15">
      <c r="A204" t="str">
        <f>HYPERLINK("./new_k5/query_cmdrels_weight_analyze/0.2_0.2_0.6/au_9135.xlsx","au_9135")</f>
        <v>au_9135</v>
      </c>
      <c r="B204">
        <v>0.1</v>
      </c>
      <c r="C204">
        <v>0</v>
      </c>
      <c r="D204">
        <v>0.16666666666666671</v>
      </c>
      <c r="E204">
        <v>0.1166666666666667</v>
      </c>
      <c r="F204">
        <v>0.24166666666666661</v>
      </c>
      <c r="G204">
        <v>0.19166666666666671</v>
      </c>
    </row>
    <row r="205" spans="1:7" x14ac:dyDescent="0.15">
      <c r="A205" t="str">
        <f>HYPERLINK("./new_k5/query_cmdrels_weight_analyze/0.2_0.2_0.6/au_935569.xlsx","au_935569")</f>
        <v>au_935569</v>
      </c>
      <c r="B205">
        <v>0.14285714285714279</v>
      </c>
      <c r="C205">
        <v>0.14285714285714279</v>
      </c>
      <c r="D205">
        <v>0.42857142857142849</v>
      </c>
      <c r="E205">
        <v>0.2857142857142857</v>
      </c>
      <c r="F205">
        <v>0.54285714285714282</v>
      </c>
      <c r="G205">
        <v>0.2857142857142857</v>
      </c>
    </row>
    <row r="206" spans="1:7" x14ac:dyDescent="0.15">
      <c r="A206" t="str">
        <f>HYPERLINK("./new_k5/query_cmdrels_weight_analyze/0.2_0.2_0.6/au_97936.xlsx","au_97936")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HYPERLINK("./new_k5/query_cmdrels_weight_analyze/0.2_0.2_0.6/so_10235778.xlsx","so_10235778")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HYPERLINK("./new_k5/query_cmdrels_weight_analyze/0.2_0.2_0.6/so_1045910.xlsx","so_1045910")</f>
        <v>so_1045910</v>
      </c>
      <c r="B208">
        <v>0.25</v>
      </c>
      <c r="C208">
        <v>0.25</v>
      </c>
      <c r="D208">
        <v>0.25</v>
      </c>
      <c r="E208">
        <v>0.5</v>
      </c>
      <c r="F208">
        <v>0.25</v>
      </c>
      <c r="G208">
        <v>0.5</v>
      </c>
    </row>
    <row r="209" spans="1:7" x14ac:dyDescent="0.15">
      <c r="A209" t="str">
        <f>HYPERLINK("./new_k5/query_cmdrels_weight_analyze/0.2_0.2_0.6/so_10557360.xlsx","so_10557360")</f>
        <v>so_10557360</v>
      </c>
      <c r="B209">
        <v>0</v>
      </c>
      <c r="C209">
        <v>0</v>
      </c>
      <c r="D209">
        <v>0</v>
      </c>
      <c r="E209">
        <v>6.6666666666666666E-2</v>
      </c>
      <c r="F209">
        <v>0</v>
      </c>
      <c r="G209">
        <v>6.6666666666666666E-2</v>
      </c>
    </row>
    <row r="210" spans="1:7" x14ac:dyDescent="0.15">
      <c r="A210" t="str">
        <f>HYPERLINK("./new_k5/query_cmdrels_weight_analyze/0.2_0.2_0.6/so_1058047.xlsx","so_1058047")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0.35</v>
      </c>
    </row>
    <row r="211" spans="1:7" x14ac:dyDescent="0.15">
      <c r="A211" t="str">
        <f>HYPERLINK("./new_k5/query_cmdrels_weight_analyze/0.2_0.2_0.6/so_10829402.xlsx","so_10829402")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HYPERLINK("./new_k5/query_cmdrels_weight_analyze/0.2_0.2_0.6/so_1088098.xlsx","so_1088098")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0.25</v>
      </c>
    </row>
    <row r="213" spans="1:7" x14ac:dyDescent="0.15">
      <c r="A213" t="str">
        <f>HYPERLINK("./new_k5/query_cmdrels_weight_analyze/0.2_0.2_0.6/so_10990949.xlsx","so_10990949")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0.5</v>
      </c>
    </row>
    <row r="214" spans="1:7" x14ac:dyDescent="0.15">
      <c r="A214" t="str">
        <f>HYPERLINK("./new_k5/query_cmdrels_weight_analyze/0.2_0.2_0.6/so_11211705.xlsx","so_11211705")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HYPERLINK("./new_k5/query_cmdrels_weight_analyze/0.2_0.2_0.6/so_112932.xlsx","so_112932")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HYPERLINK("./new_k5/query_cmdrels_weight_analyze/0.2_0.2_0.6/so_11392189.xlsx","so_11392189")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8.3333333333333329E-2</v>
      </c>
    </row>
    <row r="217" spans="1:7" x14ac:dyDescent="0.15">
      <c r="A217" t="str">
        <f>HYPERLINK("./new_k5/query_cmdrels_weight_analyze/0.2_0.2_0.6/so_1183183.xlsx","so_1183183")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HYPERLINK("./new_k5/query_cmdrels_weight_analyze/0.2_0.2_0.6/so_1194882.xlsx","so_1194882")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HYPERLINK("./new_k5/query_cmdrels_weight_analyze/0.2_0.2_0.6/so_12120935.xlsx","so_12120935")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HYPERLINK("./new_k5/query_cmdrels_weight_analyze/0.2_0.2_0.6/so_12313384.xlsx","so_12313384")</f>
        <v>so_12313384</v>
      </c>
      <c r="B220">
        <v>0</v>
      </c>
      <c r="C220">
        <v>0</v>
      </c>
      <c r="D220">
        <v>0.16666666666666671</v>
      </c>
      <c r="E220">
        <v>0.16666666666666671</v>
      </c>
      <c r="F220">
        <v>0.16666666666666671</v>
      </c>
      <c r="G220">
        <v>0.33333333333333331</v>
      </c>
    </row>
    <row r="221" spans="1:7" x14ac:dyDescent="0.15">
      <c r="A221" t="str">
        <f>HYPERLINK("./new_k5/query_cmdrels_weight_analyze/0.2_0.2_0.6/so_12392598.xlsx","so_12392598")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HYPERLINK("./new_k5/query_cmdrels_weight_analyze/0.2_0.2_0.6/so_1241801.xlsx","so_1241801")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HYPERLINK("./new_k5/query_cmdrels_weight_analyze/0.2_0.2_0.6/so_12522269.xlsx","so_12522269")</f>
        <v>so_12522269</v>
      </c>
      <c r="B223">
        <v>0.2</v>
      </c>
      <c r="C223">
        <v>0</v>
      </c>
      <c r="D223">
        <v>0.2</v>
      </c>
      <c r="E223">
        <v>0.23333333333333331</v>
      </c>
      <c r="F223">
        <v>0.28000000000000003</v>
      </c>
      <c r="G223">
        <v>0.23333333333333331</v>
      </c>
    </row>
    <row r="224" spans="1:7" x14ac:dyDescent="0.15">
      <c r="A224" t="str">
        <f>HYPERLINK("./new_k5/query_cmdrels_weight_analyze/0.2_0.2_0.6/so_1293907.xlsx","so_1293907")</f>
        <v>so_1293907</v>
      </c>
      <c r="B224">
        <v>0</v>
      </c>
      <c r="C224">
        <v>0.33333333333333331</v>
      </c>
      <c r="D224">
        <v>0</v>
      </c>
      <c r="E224">
        <v>0.55555555555555547</v>
      </c>
      <c r="F224">
        <v>8.3333333333333329E-2</v>
      </c>
      <c r="G224">
        <v>0.80555555555555547</v>
      </c>
    </row>
    <row r="225" spans="1:7" x14ac:dyDescent="0.15">
      <c r="A225" t="str">
        <f>HYPERLINK("./new_k5/query_cmdrels_weight_analyze/0.2_0.2_0.6/so_13428910.xlsx","so_13428910")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HYPERLINK("./new_k5/query_cmdrels_weight_analyze/0.2_0.2_0.6/so_135688.xlsx","so_135688")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HYPERLINK("./new_k5/query_cmdrels_weight_analyze/0.2_0.2_0.6/so_13778273.xlsx","so_13778273")</f>
        <v>so_13778273</v>
      </c>
      <c r="B227">
        <v>0.25</v>
      </c>
      <c r="C227">
        <v>0.25</v>
      </c>
      <c r="D227">
        <v>0.25</v>
      </c>
      <c r="E227">
        <v>0.25</v>
      </c>
      <c r="F227">
        <v>0.25</v>
      </c>
      <c r="G227">
        <v>0.375</v>
      </c>
    </row>
    <row r="228" spans="1:7" x14ac:dyDescent="0.15">
      <c r="A228" t="str">
        <f>HYPERLINK("./new_k5/query_cmdrels_weight_analyze/0.2_0.2_0.6/so_1405611.xlsx","so_1405611")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</v>
      </c>
      <c r="F228">
        <v>0.33333333333333331</v>
      </c>
      <c r="G228">
        <v>8.3333333333333329E-2</v>
      </c>
    </row>
    <row r="229" spans="1:7" x14ac:dyDescent="0.15">
      <c r="A229" t="str">
        <f>HYPERLINK("./new_k5/query_cmdrels_weight_analyze/0.2_0.2_0.6/so_14300794.xlsx","so_14300794")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0.66666666666666663</v>
      </c>
    </row>
    <row r="230" spans="1:7" x14ac:dyDescent="0.15">
      <c r="A230" t="str">
        <f>HYPERLINK("./new_k5/query_cmdrels_weight_analyze/0.2_0.2_0.6/so_143791.xlsx","so_143791")</f>
        <v>so_143791</v>
      </c>
      <c r="B230">
        <v>0.125</v>
      </c>
      <c r="C230">
        <v>0.125</v>
      </c>
      <c r="D230">
        <v>0.375</v>
      </c>
      <c r="E230">
        <v>0.375</v>
      </c>
      <c r="F230">
        <v>0.375</v>
      </c>
      <c r="G230">
        <v>0.5</v>
      </c>
    </row>
    <row r="231" spans="1:7" x14ac:dyDescent="0.15">
      <c r="A231" t="str">
        <f>HYPERLINK("./new_k5/query_cmdrels_weight_analyze/0.2_0.2_0.6/so_14750650.xlsx","so_14750650")</f>
        <v>so_14750650</v>
      </c>
      <c r="B231">
        <v>0</v>
      </c>
      <c r="C231">
        <v>0</v>
      </c>
      <c r="D231">
        <v>0</v>
      </c>
      <c r="E231">
        <v>8.3333333333333329E-2</v>
      </c>
      <c r="F231">
        <v>0</v>
      </c>
      <c r="G231">
        <v>8.3333333333333329E-2</v>
      </c>
    </row>
    <row r="232" spans="1:7" x14ac:dyDescent="0.15">
      <c r="A232" t="str">
        <f>HYPERLINK("./new_k5/query_cmdrels_weight_analyze/0.2_0.2_0.6/so_14978411.xlsx","so_14978411")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HYPERLINK("./new_k5/query_cmdrels_weight_analyze/0.2_0.2_0.6/so_15236308.xlsx","so_15236308")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HYPERLINK("./new_k5/query_cmdrels_weight_analyze/0.2_0.2_0.6/so_15286947.xlsx","so_15286947")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HYPERLINK("./new_k5/query_cmdrels_weight_analyze/0.2_0.2_0.6/so_15402770.xlsx","so_15402770")</f>
        <v>so_15402770</v>
      </c>
      <c r="B235">
        <v>0</v>
      </c>
      <c r="C235">
        <v>0</v>
      </c>
      <c r="D235">
        <v>0.19444444444444439</v>
      </c>
      <c r="E235">
        <v>0.19444444444444439</v>
      </c>
      <c r="F235">
        <v>0.19444444444444439</v>
      </c>
      <c r="G235">
        <v>0.31944444444444442</v>
      </c>
    </row>
    <row r="236" spans="1:7" x14ac:dyDescent="0.15">
      <c r="A236" t="str">
        <f>HYPERLINK("./new_k5/query_cmdrels_weight_analyze/0.2_0.2_0.6/so_1570262.xlsx","so_1570262")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0.13</v>
      </c>
    </row>
    <row r="237" spans="1:7" x14ac:dyDescent="0.15">
      <c r="A237" t="str">
        <f>HYPERLINK("./new_k5/query_cmdrels_weight_analyze/0.2_0.2_0.6/so_1583219.xlsx","so_1583219")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HYPERLINK("./new_k5/query_cmdrels_weight_analyze/0.2_0.2_0.6/so_15872543.xlsx","so_15872543")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HYPERLINK("./new_k5/query_cmdrels_weight_analyze/0.2_0.2_0.6/so_16038087.xlsx","so_16038087")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0.5714285714285714</v>
      </c>
    </row>
    <row r="240" spans="1:7" x14ac:dyDescent="0.15">
      <c r="A240" t="str">
        <f>HYPERLINK("./new_k5/query_cmdrels_weight_analyze/0.2_0.2_0.6/so_16212656.xlsx","so_16212656")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0.3</v>
      </c>
    </row>
    <row r="241" spans="1:7" x14ac:dyDescent="0.15">
      <c r="A241" t="str">
        <f>HYPERLINK("./new_k5/query_cmdrels_weight_analyze/0.2_0.2_0.6/so_16575419.xlsx","so_16575419")</f>
        <v>so_16575419</v>
      </c>
      <c r="B241">
        <v>0.25</v>
      </c>
      <c r="C241">
        <v>0.25</v>
      </c>
      <c r="D241">
        <v>0.25</v>
      </c>
      <c r="E241">
        <v>0.5</v>
      </c>
      <c r="F241">
        <v>0.25</v>
      </c>
      <c r="G241">
        <v>0.5</v>
      </c>
    </row>
    <row r="242" spans="1:7" x14ac:dyDescent="0.15">
      <c r="A242" t="str">
        <f>HYPERLINK("./new_k5/query_cmdrels_weight_analyze/0.2_0.2_0.6/so_17582768.xlsx","so_17582768")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0</v>
      </c>
    </row>
    <row r="243" spans="1:7" x14ac:dyDescent="0.15">
      <c r="A243" t="str">
        <f>HYPERLINK("./new_k5/query_cmdrels_weight_analyze/0.2_0.2_0.6/so_17607612.xlsx","so_17607612")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HYPERLINK("./new_k5/query_cmdrels_weight_analyze/0.2_0.2_0.6/so_17829785.xlsx","so_17829785")</f>
        <v>so_17829785</v>
      </c>
      <c r="B244">
        <v>0.25</v>
      </c>
      <c r="C244">
        <v>0</v>
      </c>
      <c r="D244">
        <v>0.25</v>
      </c>
      <c r="E244">
        <v>0.29166666666666657</v>
      </c>
      <c r="F244">
        <v>0.25</v>
      </c>
      <c r="G244">
        <v>0.29166666666666657</v>
      </c>
    </row>
    <row r="245" spans="1:7" x14ac:dyDescent="0.15">
      <c r="A245" t="str">
        <f>HYPERLINK("./new_k5/query_cmdrels_weight_analyze/0.2_0.2_0.6/so_1839841.xlsx","so_1839841")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HYPERLINK("./new_k5/query_cmdrels_weight_analyze/0.2_0.2_0.6/so_18468716.xlsx","so_18468716")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0.33333333333333331</v>
      </c>
    </row>
    <row r="247" spans="1:7" x14ac:dyDescent="0.15">
      <c r="A247" t="str">
        <f>HYPERLINK("./new_k5/query_cmdrels_weight_analyze/0.2_0.2_0.6/so_19196105.xlsx","so_19196105")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HYPERLINK("./new_k5/query_cmdrels_weight_analyze/0.2_0.2_0.6/so_19482123.xlsx","so_19482123")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HYPERLINK("./new_k5/query_cmdrels_weight_analyze/0.2_0.2_0.6/so_1975849.xlsx","so_1975849")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HYPERLINK("./new_k5/query_cmdrels_weight_analyze/0.2_0.2_0.6/so_212528.xlsx","so_212528")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0.43333333333333329</v>
      </c>
    </row>
    <row r="251" spans="1:7" x14ac:dyDescent="0.15">
      <c r="A251" t="str">
        <f>HYPERLINK("./new_k5/query_cmdrels_weight_analyze/0.2_0.2_0.6/so_21620406.xlsx","so_21620406")</f>
        <v>so_21620406</v>
      </c>
      <c r="B251">
        <v>0</v>
      </c>
      <c r="C251">
        <v>0</v>
      </c>
      <c r="D251">
        <v>0.1111111111111111</v>
      </c>
      <c r="E251">
        <v>0.1111111111111111</v>
      </c>
      <c r="F251">
        <v>0.1111111111111111</v>
      </c>
      <c r="G251">
        <v>0.1111111111111111</v>
      </c>
    </row>
    <row r="252" spans="1:7" x14ac:dyDescent="0.15">
      <c r="A252" t="str">
        <f>HYPERLINK("./new_k5/query_cmdrels_weight_analyze/0.2_0.2_0.6/so_23509348.xlsx","so_23509348")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HYPERLINK("./new_k5/query_cmdrels_weight_analyze/0.2_0.2_0.6/so_24058544.xlsx","so_24058544")</f>
        <v>so_24058544</v>
      </c>
      <c r="B253">
        <v>0.2</v>
      </c>
      <c r="C253">
        <v>0</v>
      </c>
      <c r="D253">
        <v>0.2</v>
      </c>
      <c r="E253">
        <v>0.1</v>
      </c>
      <c r="F253">
        <v>0.2</v>
      </c>
      <c r="G253">
        <v>0.1</v>
      </c>
    </row>
    <row r="254" spans="1:7" x14ac:dyDescent="0.15">
      <c r="A254" t="str">
        <f>HYPERLINK("./new_k5/query_cmdrels_weight_analyze/0.2_0.2_0.6/so_24283097.xlsx","so_24283097")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HYPERLINK("./new_k5/query_cmdrels_weight_analyze/0.2_0.2_0.6/so_26256279.xlsx","so_26256279")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HYPERLINK("./new_k5/query_cmdrels_weight_analyze/0.2_0.2_0.6/so_26331651.xlsx","so_26331651")</f>
        <v>so_26331651</v>
      </c>
      <c r="B256">
        <v>0</v>
      </c>
      <c r="C256">
        <v>0</v>
      </c>
      <c r="D256">
        <v>0</v>
      </c>
      <c r="E256">
        <v>7.1428571428571425E-2</v>
      </c>
      <c r="F256">
        <v>0</v>
      </c>
      <c r="G256">
        <v>0.12857142857142859</v>
      </c>
    </row>
    <row r="257" spans="1:7" x14ac:dyDescent="0.15">
      <c r="A257" t="str">
        <f>HYPERLINK("./new_k5/query_cmdrels_weight_analyze/0.2_0.2_0.6/so_26988262.xlsx","so_26988262")</f>
        <v>so_26988262</v>
      </c>
      <c r="B257">
        <v>0</v>
      </c>
      <c r="C257">
        <v>0</v>
      </c>
      <c r="D257">
        <v>0.16666666666666671</v>
      </c>
      <c r="E257">
        <v>0.1111111111111111</v>
      </c>
      <c r="F257">
        <v>0.33333333333333331</v>
      </c>
      <c r="G257">
        <v>0.1111111111111111</v>
      </c>
    </row>
    <row r="258" spans="1:7" x14ac:dyDescent="0.15">
      <c r="A258" t="str">
        <f>HYPERLINK("./new_k5/query_cmdrels_weight_analyze/0.2_0.2_0.6/so_27238411.xlsx","so_27238411")</f>
        <v>so_27238411</v>
      </c>
      <c r="B258">
        <v>0.2</v>
      </c>
      <c r="C258">
        <v>0.2</v>
      </c>
      <c r="D258">
        <v>0.6</v>
      </c>
      <c r="E258">
        <v>0.33333333333333331</v>
      </c>
      <c r="F258">
        <v>0.6</v>
      </c>
      <c r="G258">
        <v>0.48333333333333328</v>
      </c>
    </row>
    <row r="259" spans="1:7" x14ac:dyDescent="0.15">
      <c r="A259" t="str">
        <f>HYPERLINK("./new_k5/query_cmdrels_weight_analyze/0.2_0.2_0.6/so_27943059.xlsx","so_27943059")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0.55555555555555547</v>
      </c>
      <c r="F259">
        <v>0.16666666666666671</v>
      </c>
      <c r="G259">
        <v>0.55555555555555547</v>
      </c>
    </row>
    <row r="260" spans="1:7" x14ac:dyDescent="0.15">
      <c r="A260" t="str">
        <f>HYPERLINK("./new_k5/query_cmdrels_weight_analyze/0.2_0.2_0.6/so_28869004.xlsx","so_28869004")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HYPERLINK("./new_k5/query_cmdrels_weight_analyze/0.2_0.2_0.6/so_2973624.xlsx","so_2973624")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0.55555555555555547</v>
      </c>
      <c r="F261">
        <v>0.66666666666666663</v>
      </c>
      <c r="G261">
        <v>0.80555555555555547</v>
      </c>
    </row>
    <row r="262" spans="1:7" x14ac:dyDescent="0.15">
      <c r="A262" t="str">
        <f>HYPERLINK("./new_k5/query_cmdrels_weight_analyze/0.2_0.2_0.6/so_30177455.xlsx","so_30177455")</f>
        <v>so_30177455</v>
      </c>
      <c r="B262">
        <v>0</v>
      </c>
      <c r="C262">
        <v>0</v>
      </c>
      <c r="D262">
        <v>0.16666666666666671</v>
      </c>
      <c r="E262">
        <v>0.1111111111111111</v>
      </c>
      <c r="F262">
        <v>0.16666666666666671</v>
      </c>
      <c r="G262">
        <v>0.1111111111111111</v>
      </c>
    </row>
    <row r="263" spans="1:7" x14ac:dyDescent="0.15">
      <c r="A263" t="str">
        <f>HYPERLINK("./new_k5/query_cmdrels_weight_analyze/0.2_0.2_0.6/so_30251889.xlsx","so_30251889")</f>
        <v>so_30251889</v>
      </c>
      <c r="B263">
        <v>0</v>
      </c>
      <c r="C263">
        <v>0.25</v>
      </c>
      <c r="D263">
        <v>0.125</v>
      </c>
      <c r="E263">
        <v>0.75</v>
      </c>
      <c r="F263">
        <v>0.22500000000000001</v>
      </c>
      <c r="G263">
        <v>0.95</v>
      </c>
    </row>
    <row r="264" spans="1:7" x14ac:dyDescent="0.15">
      <c r="A264" t="str">
        <f>HYPERLINK("./new_k5/query_cmdrels_weight_analyze/0.2_0.2_0.6/so_305035.xlsx","so_305035")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HYPERLINK("./new_k5/query_cmdrels_weight_analyze/0.2_0.2_0.6/so_36249744.xlsx","so_36249744")</f>
        <v>so_36249744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</row>
    <row r="266" spans="1:7" x14ac:dyDescent="0.15">
      <c r="A266" t="str">
        <f>HYPERLINK("./new_k5/query_cmdrels_weight_analyze/0.2_0.2_0.6/so_3643848.xlsx","so_3643848")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HYPERLINK("./new_k5/query_cmdrels_weight_analyze/0.2_0.2_0.6/so_3667329.xlsx","so_3667329")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0.55555555555555547</v>
      </c>
      <c r="F267">
        <v>0.33333333333333331</v>
      </c>
      <c r="G267">
        <v>0.55555555555555547</v>
      </c>
    </row>
    <row r="268" spans="1:7" x14ac:dyDescent="0.15">
      <c r="A268" t="str">
        <f>HYPERLINK("./new_k5/query_cmdrels_weight_analyze/0.2_0.2_0.6/so_369758.xlsx","so_369758")</f>
        <v>so_369758</v>
      </c>
      <c r="B268">
        <v>0.2</v>
      </c>
      <c r="C268">
        <v>0.2</v>
      </c>
      <c r="D268">
        <v>0.4</v>
      </c>
      <c r="E268">
        <v>0.6</v>
      </c>
      <c r="F268">
        <v>0.4</v>
      </c>
      <c r="G268">
        <v>0.6</v>
      </c>
    </row>
    <row r="269" spans="1:7" x14ac:dyDescent="0.15">
      <c r="A269" t="str">
        <f>HYPERLINK("./new_k5/query_cmdrels_weight_analyze/0.2_0.2_0.6/so_3756323.xlsx","so_3756323")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0.75</v>
      </c>
    </row>
    <row r="270" spans="1:7" x14ac:dyDescent="0.15">
      <c r="A270" t="str">
        <f>HYPERLINK("./new_k5/query_cmdrels_weight_analyze/0.2_0.2_0.6/so_3767267.xlsx","so_3767267")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HYPERLINK("./new_k5/query_cmdrels_weight_analyze/0.2_0.2_0.6/so_3833578.xlsx","so_3833578")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HYPERLINK("./new_k5/query_cmdrels_weight_analyze/0.2_0.2_0.6/so_3891076.xlsx","so_3891076")</f>
        <v>so_3891076</v>
      </c>
      <c r="B272">
        <v>0.25</v>
      </c>
      <c r="C272">
        <v>0</v>
      </c>
      <c r="D272">
        <v>0.25</v>
      </c>
      <c r="E272">
        <v>8.3333333333333329E-2</v>
      </c>
      <c r="F272">
        <v>0.25</v>
      </c>
      <c r="G272">
        <v>0.18333333333333329</v>
      </c>
    </row>
    <row r="273" spans="1:7" x14ac:dyDescent="0.15">
      <c r="A273" t="str">
        <f>HYPERLINK("./new_k5/query_cmdrels_weight_analyze/0.2_0.2_0.6/so_3963085.xlsx","so_3963085")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HYPERLINK("./new_k5/query_cmdrels_weight_analyze/0.2_0.2_0.6/so_4325216.xlsx","so_4325216")</f>
        <v>so_4325216</v>
      </c>
      <c r="B274">
        <v>0.5</v>
      </c>
      <c r="C274">
        <v>0.5</v>
      </c>
      <c r="D274">
        <v>0.5</v>
      </c>
      <c r="E274">
        <v>1</v>
      </c>
      <c r="F274">
        <v>0.5</v>
      </c>
      <c r="G274">
        <v>1</v>
      </c>
    </row>
    <row r="275" spans="1:7" x14ac:dyDescent="0.15">
      <c r="A275" t="str">
        <f>HYPERLINK("./new_k5/query_cmdrels_weight_analyze/0.2_0.2_0.6/so_448005.xlsx","so_448005")</f>
        <v>so_448005</v>
      </c>
      <c r="B275">
        <v>1</v>
      </c>
      <c r="C275">
        <v>0</v>
      </c>
      <c r="D275">
        <v>1</v>
      </c>
      <c r="E275">
        <v>0.33333333333333331</v>
      </c>
      <c r="F275">
        <v>1</v>
      </c>
      <c r="G275">
        <v>0.33333333333333331</v>
      </c>
    </row>
    <row r="276" spans="1:7" x14ac:dyDescent="0.15">
      <c r="A276" t="str">
        <f>HYPERLINK("./new_k5/query_cmdrels_weight_analyze/0.2_0.2_0.6/so_4921879.xlsx","so_4921879")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HYPERLINK("./new_k5/query_cmdrels_weight_analyze/0.2_0.2_0.6/so_4922943.xlsx","so_4922943")</f>
        <v>so_4922943</v>
      </c>
      <c r="B277">
        <v>0.2</v>
      </c>
      <c r="C277">
        <v>0</v>
      </c>
      <c r="D277">
        <v>0.33333333333333331</v>
      </c>
      <c r="E277">
        <v>0.1</v>
      </c>
      <c r="F277">
        <v>0.33333333333333331</v>
      </c>
      <c r="G277">
        <v>0.2</v>
      </c>
    </row>
    <row r="278" spans="1:7" x14ac:dyDescent="0.15">
      <c r="A278" t="str">
        <f>HYPERLINK("./new_k5/query_cmdrels_weight_analyze/0.2_0.2_0.6/so_5119946.xlsx","so_5119946")</f>
        <v>so_5119946</v>
      </c>
      <c r="B278">
        <v>0.5</v>
      </c>
      <c r="C278">
        <v>0</v>
      </c>
      <c r="D278">
        <v>0.5</v>
      </c>
      <c r="E278">
        <v>0.58333333333333326</v>
      </c>
      <c r="F278">
        <v>0.5</v>
      </c>
      <c r="G278">
        <v>0.58333333333333326</v>
      </c>
    </row>
    <row r="279" spans="1:7" x14ac:dyDescent="0.15">
      <c r="A279" t="str">
        <f>HYPERLINK("./new_k5/query_cmdrels_weight_analyze/0.2_0.2_0.6/so_5164985.xlsx","so_5164985")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0.33333333333333331</v>
      </c>
    </row>
    <row r="280" spans="1:7" x14ac:dyDescent="0.15">
      <c r="A280" t="str">
        <f>HYPERLINK("./new_k5/query_cmdrels_weight_analyze/0.2_0.2_0.6/so_5306153.xlsx","so_5306153")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HYPERLINK("./new_k5/query_cmdrels_weight_analyze/0.2_0.2_0.6/so_5566310.xlsx","so_5566310")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HYPERLINK("./new_k5/query_cmdrels_weight_analyze/0.2_0.2_0.6/so_5927369.xlsx","so_5927369")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HYPERLINK("./new_k5/query_cmdrels_weight_analyze/0.2_0.2_0.6/so_5947742.xlsx","so_5947742")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HYPERLINK("./new_k5/query_cmdrels_weight_analyze/0.2_0.2_0.6/so_614795.xlsx","so_614795")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HYPERLINK("./new_k5/query_cmdrels_weight_analyze/0.2_0.2_0.6/so_6207573.xlsx","so_6207573")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0.2857142857142857</v>
      </c>
      <c r="F285">
        <v>0.37142857142857139</v>
      </c>
      <c r="G285">
        <v>0.50714285714285712</v>
      </c>
    </row>
    <row r="286" spans="1:7" x14ac:dyDescent="0.15">
      <c r="A286" t="str">
        <f>HYPERLINK("./new_k5/query_cmdrels_weight_analyze/0.2_0.2_0.6/so_6283167.xlsx","so_6283167")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HYPERLINK("./new_k5/query_cmdrels_weight_analyze/0.2_0.2_0.6/so_6329505.xlsx","so_6329505")</f>
        <v>so_6329505</v>
      </c>
      <c r="B287">
        <v>0</v>
      </c>
      <c r="C287">
        <v>0.2</v>
      </c>
      <c r="D287">
        <v>0.1</v>
      </c>
      <c r="E287">
        <v>0.2</v>
      </c>
      <c r="F287">
        <v>0.18</v>
      </c>
      <c r="G287">
        <v>0.2</v>
      </c>
    </row>
    <row r="288" spans="1:7" x14ac:dyDescent="0.15">
      <c r="A288" t="str">
        <f>HYPERLINK("./new_k5/query_cmdrels_weight_analyze/0.2_0.2_0.6/so_6423532.xlsx","so_6423532")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HYPERLINK("./new_k5/query_cmdrels_weight_analyze/0.2_0.2_0.6/so_669438.xlsx","so_669438")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0.48333333333333328</v>
      </c>
    </row>
    <row r="290" spans="1:7" x14ac:dyDescent="0.15">
      <c r="A290" t="str">
        <f>HYPERLINK("./new_k5/query_cmdrels_weight_analyze/0.2_0.2_0.6/so_7052875.xlsx","so_7052875")</f>
        <v>so_7052875</v>
      </c>
      <c r="B290">
        <v>0.2</v>
      </c>
      <c r="C290">
        <v>0.2</v>
      </c>
      <c r="D290">
        <v>0.2</v>
      </c>
      <c r="E290">
        <v>0.2</v>
      </c>
      <c r="F290">
        <v>0.2</v>
      </c>
      <c r="G290">
        <v>0.3</v>
      </c>
    </row>
    <row r="291" spans="1:7" x14ac:dyDescent="0.15">
      <c r="A291" t="str">
        <f>HYPERLINK("./new_k5/query_cmdrels_weight_analyze/0.2_0.2_0.6/so_7221757.xlsx","so_7221757")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HYPERLINK("./new_k5/query_cmdrels_weight_analyze/0.2_0.2_0.6/so_750604.xlsx","so_750604")</f>
        <v>so_750604</v>
      </c>
      <c r="B292">
        <v>0</v>
      </c>
      <c r="C292">
        <v>0</v>
      </c>
      <c r="D292">
        <v>0.1111111111111111</v>
      </c>
      <c r="E292">
        <v>0.16666666666666671</v>
      </c>
      <c r="F292">
        <v>0.1111111111111111</v>
      </c>
      <c r="G292">
        <v>0.33333333333333331</v>
      </c>
    </row>
    <row r="293" spans="1:7" x14ac:dyDescent="0.15">
      <c r="A293" t="str">
        <f>HYPERLINK("./new_k5/query_cmdrels_weight_analyze/0.2_0.2_0.6/so_7575267.xlsx","so_7575267")</f>
        <v>so_7575267</v>
      </c>
      <c r="B293">
        <v>0</v>
      </c>
      <c r="C293">
        <v>0.25</v>
      </c>
      <c r="D293">
        <v>0</v>
      </c>
      <c r="E293">
        <v>0.5</v>
      </c>
      <c r="F293">
        <v>0</v>
      </c>
      <c r="G293">
        <v>0.5</v>
      </c>
    </row>
    <row r="294" spans="1:7" x14ac:dyDescent="0.15">
      <c r="A294" t="str">
        <f>HYPERLINK("./new_k5/query_cmdrels_weight_analyze/0.2_0.2_0.6/so_7698488.xlsx","so_7698488")</f>
        <v>so_7698488</v>
      </c>
      <c r="B294">
        <v>0</v>
      </c>
      <c r="C294">
        <v>0</v>
      </c>
      <c r="D294">
        <v>0</v>
      </c>
      <c r="E294">
        <v>8.3333333333333329E-2</v>
      </c>
      <c r="F294">
        <v>0</v>
      </c>
      <c r="G294">
        <v>0.18333333333333329</v>
      </c>
    </row>
    <row r="295" spans="1:7" x14ac:dyDescent="0.15">
      <c r="A295" t="str">
        <f>HYPERLINK("./new_k5/query_cmdrels_weight_analyze/0.2_0.2_0.6/so_801095.xlsx","so_801095")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0.55555555555555547</v>
      </c>
      <c r="F295">
        <v>0.33333333333333331</v>
      </c>
      <c r="G295">
        <v>0.55555555555555547</v>
      </c>
    </row>
    <row r="296" spans="1:7" x14ac:dyDescent="0.15">
      <c r="A296" t="str">
        <f>HYPERLINK("./new_k5/query_cmdrels_weight_analyze/0.2_0.2_0.6/so_8249705.xlsx","so_8249705")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HYPERLINK("./new_k5/query_cmdrels_weight_analyze/0.2_0.2_0.6/so_8423541.xlsx","so_8423541")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HYPERLINK("./new_k5/query_cmdrels_weight_analyze/0.2_0.2_0.6/so_8654051.xlsx","so_8654051")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HYPERLINK("./new_k5/query_cmdrels_weight_analyze/0.2_0.2_0.6/so_890262.xlsx","so_890262")</f>
        <v>so_890262</v>
      </c>
      <c r="B299">
        <v>0</v>
      </c>
      <c r="C299">
        <v>0</v>
      </c>
      <c r="D299">
        <v>0</v>
      </c>
      <c r="E299">
        <v>0.38888888888888878</v>
      </c>
      <c r="F299">
        <v>0</v>
      </c>
      <c r="G299">
        <v>0.38888888888888878</v>
      </c>
    </row>
    <row r="300" spans="1:7" x14ac:dyDescent="0.15">
      <c r="A300" t="str">
        <f>HYPERLINK("./new_k5/query_cmdrels_weight_analyze/0.2_0.2_0.6/so_893585.xlsx","so_893585")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HYPERLINK("./new_k5/query_cmdrels_weight_analyze/0.2_0.2_0.6/so_9223460.xlsx","so_9223460")</f>
        <v>so_9223460</v>
      </c>
      <c r="B301">
        <v>0.33333333333333331</v>
      </c>
      <c r="C301">
        <v>0.33333333333333331</v>
      </c>
      <c r="D301">
        <v>0.33333333333333331</v>
      </c>
      <c r="E301">
        <v>0.33333333333333331</v>
      </c>
      <c r="F301">
        <v>0.33333333333333331</v>
      </c>
      <c r="G301">
        <v>0.46666666666666662</v>
      </c>
    </row>
    <row r="302" spans="1:7" x14ac:dyDescent="0.15">
      <c r="A302" t="str">
        <f>HYPERLINK("./new_k5/query_cmdrels_weight_analyze/0.2_0.2_0.6/so_9245638.xlsx","so_9245638")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HYPERLINK("./new_k5/query_cmdrels_weight_analyze/0.2_0.2_0.6/so_9304953.xlsx","so_9304953")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HYPERLINK("./new_k5/query_cmdrels_weight_analyze/0.2_0.2_0.6/so_9361816.xlsx","so_9361816")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HYPERLINK("./new_k5/query_cmdrels_weight_analyze/0.2_0.2_0.6/su_116617.xlsx","su_116617")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HYPERLINK("./new_k5/query_cmdrels_weight_analyze/0.2_0.2_0.6/su_120045.xlsx","su_120045")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HYPERLINK("./new_k5/query_cmdrels_weight_analyze/0.2_0.2_0.6/su_127863.xlsx","su_127863")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HYPERLINK("./new_k5/query_cmdrels_weight_analyze/0.2_0.2_0.6/su_135498.xlsx","su_135498")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HYPERLINK("./new_k5/query_cmdrels_weight_analyze/0.2_0.2_0.6/su_147027.xlsx","su_147027")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HYPERLINK("./new_k5/query_cmdrels_weight_analyze/0.2_0.2_0.6/su_151911.xlsx","su_151911")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15">
      <c r="A311" t="str">
        <f>HYPERLINK("./new_k5/query_cmdrels_weight_analyze/0.2_0.2_0.6/su_153415.xlsx","su_153415")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HYPERLINK("./new_k5/query_cmdrels_weight_analyze/0.2_0.2_0.6/su_156189.xlsx","su_156189")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0.40277777777777768</v>
      </c>
    </row>
    <row r="313" spans="1:7" x14ac:dyDescent="0.15">
      <c r="A313" t="str">
        <f>HYPERLINK("./new_k5/query_cmdrels_weight_analyze/0.2_0.2_0.6/su_161531.xlsx","su_161531")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HYPERLINK("./new_k5/query_cmdrels_weight_analyze/0.2_0.2_0.6/su_204209.xlsx","su_204209")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HYPERLINK("./new_k5/query_cmdrels_weight_analyze/0.2_0.2_0.6/su_214390.xlsx","su_214390")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HYPERLINK("./new_k5/query_cmdrels_weight_analyze/0.2_0.2_0.6/su_215483.xlsx","su_215483")</f>
        <v>su_215483</v>
      </c>
      <c r="B316">
        <v>0.5</v>
      </c>
      <c r="C316">
        <v>0.5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HYPERLINK("./new_k5/query_cmdrels_weight_analyze/0.2_0.2_0.6/su_215504.xlsx","su_215504")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0.47916666666666657</v>
      </c>
    </row>
    <row r="318" spans="1:7" x14ac:dyDescent="0.15">
      <c r="A318" t="str">
        <f>HYPERLINK("./new_k5/query_cmdrels_weight_analyze/0.2_0.2_0.6/su_227385.xlsx","su_227385")</f>
        <v>su_227385</v>
      </c>
      <c r="B318">
        <v>0</v>
      </c>
      <c r="C318">
        <v>0</v>
      </c>
      <c r="D318">
        <v>0</v>
      </c>
      <c r="E318">
        <v>0.125</v>
      </c>
      <c r="F318">
        <v>0</v>
      </c>
      <c r="G318">
        <v>0.25</v>
      </c>
    </row>
    <row r="319" spans="1:7" x14ac:dyDescent="0.15">
      <c r="A319" t="str">
        <f>HYPERLINK("./new_k5/query_cmdrels_weight_analyze/0.2_0.2_0.6/su_273254.xlsx","su_273254")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HYPERLINK("./new_k5/query_cmdrels_weight_analyze/0.2_0.2_0.6/su_294161.xlsx","su_294161")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HYPERLINK("./new_k5/query_cmdrels_weight_analyze/0.2_0.2_0.6/su_302396.xlsx","su_302396")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HYPERLINK("./new_k5/query_cmdrels_weight_analyze/0.2_0.2_0.6/su_303981.xlsx","su_303981")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HYPERLINK("./new_k5/query_cmdrels_weight_analyze/0.2_0.2_0.6/su_305128.xlsx","su_305128")</f>
        <v>su_305128</v>
      </c>
      <c r="B323">
        <v>0.5</v>
      </c>
      <c r="C323">
        <v>0.5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HYPERLINK("./new_k5/query_cmdrels_weight_analyze/0.2_0.2_0.6/su_31512.xlsx","su_31512")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HYPERLINK("./new_k5/query_cmdrels_weight_analyze/0.2_0.2_0.6/su_380520.xlsx","su_380520")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</v>
      </c>
    </row>
    <row r="326" spans="1:7" x14ac:dyDescent="0.15">
      <c r="A326" t="str">
        <f>HYPERLINK("./new_k5/query_cmdrels_weight_analyze/0.2_0.2_0.6/su_38981.xlsx","su_38981")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HYPERLINK("./new_k5/query_cmdrels_weight_analyze/0.2_0.2_0.6/su_437330.xlsx","su_437330")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HYPERLINK("./new_k5/query_cmdrels_weight_analyze/0.2_0.2_0.6/su_441379.xlsx","su_441379")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HYPERLINK("./new_k5/query_cmdrels_weight_analyze/0.2_0.2_0.6/su_462788.xlsx","su_462788")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0.1851851851851852</v>
      </c>
      <c r="F329">
        <v>0.30555555555555558</v>
      </c>
      <c r="G329">
        <v>0.26851851851851849</v>
      </c>
    </row>
    <row r="330" spans="1:7" x14ac:dyDescent="0.15">
      <c r="A330" t="str">
        <f>HYPERLINK("./new_k5/query_cmdrels_weight_analyze/0.2_0.2_0.6/su_626606.xlsx","su_626606")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0.66666666666666663</v>
      </c>
    </row>
    <row r="331" spans="1:7" x14ac:dyDescent="0.15">
      <c r="A331" t="str">
        <f>HYPERLINK("./new_k5/query_cmdrels_weight_analyze/0.2_0.2_0.6/su_634469.xlsx","su_634469")</f>
        <v>su_634469</v>
      </c>
      <c r="B331">
        <v>0</v>
      </c>
      <c r="C331">
        <v>0.16666666666666671</v>
      </c>
      <c r="D331">
        <v>0</v>
      </c>
      <c r="E331">
        <v>0.27777777777777768</v>
      </c>
      <c r="F331">
        <v>0</v>
      </c>
      <c r="G331">
        <v>0.40277777777777768</v>
      </c>
    </row>
    <row r="332" spans="1:7" x14ac:dyDescent="0.15">
      <c r="A332" t="str">
        <f>HYPERLINK("./new_k5/query_cmdrels_weight_analyze/0.2_0.2_0.6/su_638616.xlsx","su_638616")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HYPERLINK("./new_k5/query_cmdrels_weight_analyze/0.2_0.2_0.6/su_678113.xlsx","su_678113")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HYPERLINK("./new_k5/query_cmdrels_weight_analyze/0.2_0.2_0.6/su_686394.xlsx","su_686394")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HYPERLINK("./new_k5/query_cmdrels_weight_analyze/0.2_0.2_0.6/su_716795.xlsx","su_716795")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</v>
      </c>
    </row>
    <row r="336" spans="1:7" x14ac:dyDescent="0.15">
      <c r="A336" t="str">
        <f>HYPERLINK("./new_k5/query_cmdrels_weight_analyze/0.2_0.2_0.6/su_758463.xlsx","su_758463")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HYPERLINK("./new_k5/query_cmdrels_weight_analyze/0.2_0.2_0.6/su_766437.xlsx","su_766437")</f>
        <v>su_766437</v>
      </c>
      <c r="B337">
        <v>0</v>
      </c>
      <c r="C337">
        <v>0.2</v>
      </c>
      <c r="D337">
        <v>0</v>
      </c>
      <c r="E337">
        <v>0.2</v>
      </c>
      <c r="F337">
        <v>0.05</v>
      </c>
      <c r="G337">
        <v>0.42</v>
      </c>
    </row>
    <row r="338" spans="1:7" x14ac:dyDescent="0.15">
      <c r="A338" t="str">
        <f>HYPERLINK("./new_k5/query_cmdrels_weight_analyze/0.2_0.2_0.6/su_904001.xlsx","su_904001")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HYPERLINK("./new_k5/query_cmdrels_weight_analyze/0.2_0.2_0.6/ul_100959.xlsx","ul_100959")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HYPERLINK("./new_k5/query_cmdrels_weight_analyze/0.2_0.2_0.6/ul_101073.xlsx","ul_101073")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HYPERLINK("./new_k5/query_cmdrels_weight_analyze/0.2_0.2_0.6/ul_101237.xlsx","ul_101237")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HYPERLINK("./new_k5/query_cmdrels_weight_analyze/0.2_0.2_0.6/ul_102752.xlsx","ul_102752")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0.8041666666666667</v>
      </c>
    </row>
    <row r="343" spans="1:7" x14ac:dyDescent="0.15">
      <c r="A343" t="str">
        <f>HYPERLINK("./new_k5/query_cmdrels_weight_analyze/0.2_0.2_0.6/ul_108174.xlsx","ul_108174")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HYPERLINK("./new_k5/query_cmdrels_weight_analyze/0.2_0.2_0.6/ul_109536.xlsx","ul_109536")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HYPERLINK("./new_k5/query_cmdrels_weight_analyze/0.2_0.2_0.6/ul_112050.xlsx","ul_112050")</f>
        <v>ul_112050</v>
      </c>
      <c r="B345">
        <v>0</v>
      </c>
      <c r="C345">
        <v>0.25</v>
      </c>
      <c r="D345">
        <v>0.125</v>
      </c>
      <c r="E345">
        <v>0.5</v>
      </c>
      <c r="F345">
        <v>0.125</v>
      </c>
      <c r="G345">
        <v>0.6875</v>
      </c>
    </row>
    <row r="346" spans="1:7" x14ac:dyDescent="0.15">
      <c r="A346" t="str">
        <f>HYPERLINK("./new_k5/query_cmdrels_weight_analyze/0.2_0.2_0.6/ul_116070.xlsx","ul_116070")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HYPERLINK("./new_k5/query_cmdrels_weight_analyze/0.2_0.2_0.6/ul_11851.xlsx","ul_11851")</f>
        <v>ul_11851</v>
      </c>
      <c r="B347">
        <v>0</v>
      </c>
      <c r="C347">
        <v>0.2</v>
      </c>
      <c r="D347">
        <v>0</v>
      </c>
      <c r="E347">
        <v>0.33333333333333331</v>
      </c>
      <c r="F347">
        <v>0</v>
      </c>
      <c r="G347">
        <v>0.64333333333333331</v>
      </c>
    </row>
    <row r="348" spans="1:7" x14ac:dyDescent="0.15">
      <c r="A348" t="str">
        <f>HYPERLINK("./new_k5/query_cmdrels_weight_analyze/0.2_0.2_0.6/ul_119126.xlsx","ul_119126")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HYPERLINK("./new_k5/query_cmdrels_weight_analyze/0.2_0.2_0.6/ul_121718.xlsx","ul_121718")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HYPERLINK("./new_k5/query_cmdrels_weight_analyze/0.2_0.2_0.6/ul_12227.xlsx","ul_12227")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HYPERLINK("./new_k5/query_cmdrels_weight_analyze/0.2_0.2_0.6/ul_12453.xlsx","ul_12453")</f>
        <v>ul_12453</v>
      </c>
      <c r="B351">
        <v>0</v>
      </c>
      <c r="C351">
        <v>0.25</v>
      </c>
      <c r="D351">
        <v>0.125</v>
      </c>
      <c r="E351">
        <v>0.41666666666666657</v>
      </c>
      <c r="F351">
        <v>0.125</v>
      </c>
      <c r="G351">
        <v>0.60416666666666663</v>
      </c>
    </row>
    <row r="352" spans="1:7" x14ac:dyDescent="0.15">
      <c r="A352" t="str">
        <f>HYPERLINK("./new_k5/query_cmdrels_weight_analyze/0.2_0.2_0.6/ul_12535.xlsx","ul_12535")</f>
        <v>ul_12535</v>
      </c>
      <c r="B352">
        <v>0</v>
      </c>
      <c r="C352">
        <v>0</v>
      </c>
      <c r="D352">
        <v>0</v>
      </c>
      <c r="E352">
        <v>0.1</v>
      </c>
      <c r="F352">
        <v>0.05</v>
      </c>
      <c r="G352">
        <v>0.2</v>
      </c>
    </row>
    <row r="353" spans="1:7" x14ac:dyDescent="0.15">
      <c r="A353" t="str">
        <f>HYPERLINK("./new_k5/query_cmdrels_weight_analyze/0.2_0.2_0.6/ul_127066.xlsx","ul_127066")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0.41666666666666657</v>
      </c>
    </row>
    <row r="354" spans="1:7" x14ac:dyDescent="0.15">
      <c r="A354" t="str">
        <f>HYPERLINK("./new_k5/query_cmdrels_weight_analyze/0.2_0.2_0.6/ul_128953.xlsx","ul_128953")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HYPERLINK("./new_k5/query_cmdrels_weight_analyze/0.2_0.2_0.6/ul_134829.xlsx","ul_134829")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0.5</v>
      </c>
    </row>
    <row r="356" spans="1:7" x14ac:dyDescent="0.15">
      <c r="A356" t="str">
        <f>HYPERLINK("./new_k5/query_cmdrels_weight_analyze/0.2_0.2_0.6/ul_136371.xlsx","ul_136371")</f>
        <v>ul_136371</v>
      </c>
      <c r="B356">
        <v>0</v>
      </c>
      <c r="C356">
        <v>0.33333333333333331</v>
      </c>
      <c r="D356">
        <v>0</v>
      </c>
      <c r="E356">
        <v>0.33333333333333331</v>
      </c>
      <c r="F356">
        <v>0</v>
      </c>
      <c r="G356">
        <v>0.46666666666666662</v>
      </c>
    </row>
    <row r="357" spans="1:7" x14ac:dyDescent="0.15">
      <c r="A357" t="str">
        <f>HYPERLINK("./new_k5/query_cmdrels_weight_analyze/0.2_0.2_0.6/ul_136884.xlsx","ul_136884")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HYPERLINK("./new_k5/query_cmdrels_weight_analyze/0.2_0.2_0.6/ul_138398.xlsx","ul_138398")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HYPERLINK("./new_k5/query_cmdrels_weight_analyze/0.2_0.2_0.6/ul_139271.xlsx","ul_139271")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0.33333333333333331</v>
      </c>
      <c r="F359">
        <v>0.33333333333333331</v>
      </c>
      <c r="G359">
        <v>0.43333333333333329</v>
      </c>
    </row>
    <row r="360" spans="1:7" x14ac:dyDescent="0.15">
      <c r="A360" t="str">
        <f>HYPERLINK("./new_k5/query_cmdrels_weight_analyze/0.2_0.2_0.6/ul_140482.xlsx","ul_140482")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HYPERLINK("./new_k5/query_cmdrels_weight_analyze/0.2_0.2_0.6/ul_14191.xlsx","ul_14191")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0.24444444444444449</v>
      </c>
    </row>
    <row r="362" spans="1:7" x14ac:dyDescent="0.15">
      <c r="A362" t="str">
        <f>HYPERLINK("./new_k5/query_cmdrels_weight_analyze/0.2_0.2_0.6/ul_145929.xlsx","ul_145929")</f>
        <v>ul_145929</v>
      </c>
      <c r="B362">
        <v>0</v>
      </c>
      <c r="C362">
        <v>0</v>
      </c>
      <c r="D362">
        <v>0.16666666666666671</v>
      </c>
      <c r="E362">
        <v>0.16666666666666671</v>
      </c>
      <c r="F362">
        <v>0.16666666666666671</v>
      </c>
      <c r="G362">
        <v>0.3666666666666667</v>
      </c>
    </row>
    <row r="363" spans="1:7" x14ac:dyDescent="0.15">
      <c r="A363" t="str">
        <f>HYPERLINK("./new_k5/query_cmdrels_weight_analyze/0.2_0.2_0.6/ul_148985.xlsx","ul_148985")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HYPERLINK("./new_k5/query_cmdrels_weight_analyze/0.2_0.2_0.6/ul_15405.xlsx","ul_15405")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HYPERLINK("./new_k5/query_cmdrels_weight_analyze/0.2_0.2_0.6/ul_155551.xlsx","ul_155551")</f>
        <v>ul_155551</v>
      </c>
      <c r="B365">
        <v>0</v>
      </c>
      <c r="C365">
        <v>0.5</v>
      </c>
      <c r="D365">
        <v>0</v>
      </c>
      <c r="E365">
        <v>0.5</v>
      </c>
      <c r="F365">
        <v>0</v>
      </c>
      <c r="G365">
        <v>0.75</v>
      </c>
    </row>
    <row r="366" spans="1:7" x14ac:dyDescent="0.15">
      <c r="A366" t="str">
        <f>HYPERLINK("./new_k5/query_cmdrels_weight_analyze/0.2_0.2_0.6/ul_159672.xlsx","ul_159672")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HYPERLINK("./new_k5/query_cmdrels_weight_analyze/0.2_0.2_0.6/ul_163845.xlsx","ul_163845")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HYPERLINK("./new_k5/query_cmdrels_weight_analyze/0.2_0.2_0.6/ul_16407.xlsx","ul_16407")</f>
        <v>ul_16407</v>
      </c>
      <c r="B368">
        <v>0.5</v>
      </c>
      <c r="C368">
        <v>0.5</v>
      </c>
      <c r="D368">
        <v>0.5</v>
      </c>
      <c r="E368">
        <v>0.5</v>
      </c>
      <c r="F368">
        <v>0.75</v>
      </c>
      <c r="G368">
        <v>0.5</v>
      </c>
    </row>
    <row r="369" spans="1:7" x14ac:dyDescent="0.15">
      <c r="A369" t="str">
        <f>HYPERLINK("./new_k5/query_cmdrels_weight_analyze/0.2_0.2_0.6/ul_166558.xlsx","ul_166558")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HYPERLINK("./new_k5/query_cmdrels_weight_analyze/0.2_0.2_0.6/ul_171314.xlsx","ul_171314")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0.35</v>
      </c>
    </row>
    <row r="371" spans="1:7" x14ac:dyDescent="0.15">
      <c r="A371" t="str">
        <f>HYPERLINK("./new_k5/query_cmdrels_weight_analyze/0.2_0.2_0.6/ul_182032.xlsx","ul_182032")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HYPERLINK("./new_k5/query_cmdrels_weight_analyze/0.2_0.2_0.6/ul_19344.xlsx","ul_19344")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HYPERLINK("./new_k5/query_cmdrels_weight_analyze/0.2_0.2_0.6/ul_19369.xlsx","ul_19369")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HYPERLINK("./new_k5/query_cmdrels_weight_analyze/0.2_0.2_0.6/ul_19485.xlsx","ul_19485")</f>
        <v>ul_19485</v>
      </c>
      <c r="B374">
        <v>0</v>
      </c>
      <c r="C374">
        <v>0</v>
      </c>
      <c r="D374">
        <v>0</v>
      </c>
      <c r="E374">
        <v>0.33333333333333331</v>
      </c>
      <c r="F374">
        <v>0</v>
      </c>
      <c r="G374">
        <v>0.33333333333333331</v>
      </c>
    </row>
    <row r="375" spans="1:7" x14ac:dyDescent="0.15">
      <c r="A375" t="str">
        <f>HYPERLINK("./new_k5/query_cmdrels_weight_analyze/0.2_0.2_0.6/ul_20370.xlsx","ul_20370")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0.125</v>
      </c>
    </row>
    <row r="376" spans="1:7" x14ac:dyDescent="0.15">
      <c r="A376" t="str">
        <f>HYPERLINK("./new_k5/query_cmdrels_weight_analyze/0.2_0.2_0.6/ul_211817.xlsx","ul_211817")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HYPERLINK("./new_k5/query_cmdrels_weight_analyze/0.2_0.2_0.6/ul_212925.xlsx","ul_212925")</f>
        <v>ul_212925</v>
      </c>
      <c r="B377">
        <v>0</v>
      </c>
      <c r="C377">
        <v>0</v>
      </c>
      <c r="D377">
        <v>0</v>
      </c>
      <c r="E377">
        <v>0.5</v>
      </c>
      <c r="F377">
        <v>0</v>
      </c>
      <c r="G377">
        <v>0.5</v>
      </c>
    </row>
    <row r="378" spans="1:7" x14ac:dyDescent="0.15">
      <c r="A378" t="str">
        <f>HYPERLINK("./new_k5/query_cmdrels_weight_analyze/0.2_0.2_0.6/ul_21471.xlsx","ul_21471")</f>
        <v>ul_21471</v>
      </c>
      <c r="B378">
        <v>0</v>
      </c>
      <c r="C378">
        <v>0</v>
      </c>
      <c r="D378">
        <v>0</v>
      </c>
      <c r="E378">
        <v>0.16666666666666671</v>
      </c>
      <c r="F378">
        <v>8.3333333333333329E-2</v>
      </c>
      <c r="G378">
        <v>0.16666666666666671</v>
      </c>
    </row>
    <row r="379" spans="1:7" x14ac:dyDescent="0.15">
      <c r="A379" t="str">
        <f>HYPERLINK("./new_k5/query_cmdrels_weight_analyze/0.2_0.2_0.6/ul_22545.xlsx","ul_22545")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HYPERLINK("./new_k5/query_cmdrels_weight_analyze/0.2_0.2_0.6/ul_230481.xlsx","ul_230481")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HYPERLINK("./new_k5/query_cmdrels_weight_analyze/0.2_0.2_0.6/ul_230673.xlsx","ul_230673")</f>
        <v>ul_230673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0.125</v>
      </c>
    </row>
    <row r="382" spans="1:7" x14ac:dyDescent="0.15">
      <c r="A382" t="str">
        <f>HYPERLINK("./new_k5/query_cmdrels_weight_analyze/0.2_0.2_0.6/ul_230800.xlsx","ul_230800")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HYPERLINK("./new_k5/query_cmdrels_weight_analyze/0.2_0.2_0.6/ul_232384.xlsx","ul_232384")</f>
        <v>ul_232384</v>
      </c>
      <c r="B383">
        <v>0</v>
      </c>
      <c r="C383">
        <v>0.5</v>
      </c>
      <c r="D383">
        <v>0</v>
      </c>
      <c r="E383">
        <v>0.83333333333333326</v>
      </c>
      <c r="F383">
        <v>0</v>
      </c>
      <c r="G383">
        <v>0.83333333333333326</v>
      </c>
    </row>
    <row r="384" spans="1:7" x14ac:dyDescent="0.15">
      <c r="A384" t="str">
        <f>HYPERLINK("./new_k5/query_cmdrels_weight_analyze/0.2_0.2_0.6/ul_24441.xlsx","ul_24441")</f>
        <v>ul_24441</v>
      </c>
      <c r="B384">
        <v>0</v>
      </c>
      <c r="C384">
        <v>0</v>
      </c>
      <c r="D384">
        <v>0</v>
      </c>
      <c r="E384">
        <v>0.25</v>
      </c>
      <c r="F384">
        <v>0</v>
      </c>
      <c r="G384">
        <v>0.25</v>
      </c>
    </row>
    <row r="385" spans="1:7" x14ac:dyDescent="0.15">
      <c r="A385" t="str">
        <f>HYPERLINK("./new_k5/query_cmdrels_weight_analyze/0.2_0.2_0.6/ul_246535.xlsx","ul_246535")</f>
        <v>ul_246535</v>
      </c>
      <c r="B385">
        <v>0.2</v>
      </c>
      <c r="C385">
        <v>0.2</v>
      </c>
      <c r="D385">
        <v>0.2</v>
      </c>
      <c r="E385">
        <v>0.2</v>
      </c>
      <c r="F385">
        <v>0.2</v>
      </c>
      <c r="G385">
        <v>0.42</v>
      </c>
    </row>
    <row r="386" spans="1:7" x14ac:dyDescent="0.15">
      <c r="A386" t="str">
        <f>HYPERLINK("./new_k5/query_cmdrels_weight_analyze/0.2_0.2_0.6/ul_259791.xlsx","ul_259791")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HYPERLINK("./new_k5/query_cmdrels_weight_analyze/0.2_0.2_0.6/ul_273971.xlsx","ul_273971")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0.33333333333333331</v>
      </c>
      <c r="F387">
        <v>0.43333333333333329</v>
      </c>
      <c r="G387">
        <v>0.43333333333333329</v>
      </c>
    </row>
    <row r="388" spans="1:7" x14ac:dyDescent="0.15">
      <c r="A388" t="str">
        <f>HYPERLINK("./new_k5/query_cmdrels_weight_analyze/0.2_0.2_0.6/ul_28553.xlsx","ul_28553")</f>
        <v>ul_28553</v>
      </c>
      <c r="B388">
        <v>0.25</v>
      </c>
      <c r="C388">
        <v>0</v>
      </c>
      <c r="D388">
        <v>0.5</v>
      </c>
      <c r="E388">
        <v>8.3333333333333329E-2</v>
      </c>
      <c r="F388">
        <v>0.5</v>
      </c>
      <c r="G388">
        <v>8.3333333333333329E-2</v>
      </c>
    </row>
    <row r="389" spans="1:7" x14ac:dyDescent="0.15">
      <c r="A389" t="str">
        <f>HYPERLINK("./new_k5/query_cmdrels_weight_analyze/0.2_0.2_0.6/ul_288521.xlsx","ul_288521")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HYPERLINK("./new_k5/query_cmdrels_weight_analyze/0.2_0.2_0.6/ul_32290.xlsx","ul_32290")</f>
        <v>ul_32290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6.25E-2</v>
      </c>
    </row>
    <row r="391" spans="1:7" x14ac:dyDescent="0.15">
      <c r="A391" t="str">
        <f>HYPERLINK("./new_k5/query_cmdrels_weight_analyze/0.2_0.2_0.6/ul_328882.xlsx","ul_328882")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HYPERLINK("./new_k5/query_cmdrels_weight_analyze/0.2_0.2_0.6/ul_35131.xlsx","ul_35131")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0.66666666666666663</v>
      </c>
    </row>
    <row r="393" spans="1:7" x14ac:dyDescent="0.15">
      <c r="A393" t="str">
        <f>HYPERLINK("./new_k5/query_cmdrels_weight_analyze/0.2_0.2_0.6/ul_35333.xlsx","ul_35333")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HYPERLINK("./new_k5/query_cmdrels_weight_analyze/0.2_0.2_0.6/ul_35711.xlsx","ul_35711")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HYPERLINK("./new_k5/query_cmdrels_weight_analyze/0.2_0.2_0.6/ul_3575.xlsx","ul_3575")</f>
        <v>ul_3575</v>
      </c>
      <c r="B395">
        <v>0</v>
      </c>
      <c r="C395">
        <v>0.16666666666666671</v>
      </c>
      <c r="D395">
        <v>8.3333333333333329E-2</v>
      </c>
      <c r="E395">
        <v>0.16666666666666671</v>
      </c>
      <c r="F395">
        <v>8.3333333333333329E-2</v>
      </c>
      <c r="G395">
        <v>0.16666666666666671</v>
      </c>
    </row>
    <row r="396" spans="1:7" x14ac:dyDescent="0.15">
      <c r="A396" t="str">
        <f>HYPERLINK("./new_k5/query_cmdrels_weight_analyze/0.2_0.2_0.6/ul_35832.xlsx","ul_35832")</f>
        <v>ul_35832</v>
      </c>
      <c r="B396">
        <v>0.5</v>
      </c>
      <c r="C396">
        <v>0.5</v>
      </c>
      <c r="D396">
        <v>0.5</v>
      </c>
      <c r="E396">
        <v>1</v>
      </c>
      <c r="F396">
        <v>0.5</v>
      </c>
      <c r="G396">
        <v>1</v>
      </c>
    </row>
    <row r="397" spans="1:7" x14ac:dyDescent="0.15">
      <c r="A397" t="str">
        <f>HYPERLINK("./new_k5/query_cmdrels_weight_analyze/0.2_0.2_0.6/ul_370318.xlsx","ul_370318")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0.2857142857142857</v>
      </c>
      <c r="F397">
        <v>0.14285714285714279</v>
      </c>
      <c r="G397">
        <v>0.39285714285714279</v>
      </c>
    </row>
    <row r="398" spans="1:7" x14ac:dyDescent="0.15">
      <c r="A398" t="str">
        <f>HYPERLINK("./new_k5/query_cmdrels_weight_analyze/0.2_0.2_0.6/ul_37329.xlsx","ul_37329")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0.55555555555555547</v>
      </c>
      <c r="F398">
        <v>0.33333333333333331</v>
      </c>
      <c r="G398">
        <v>0.55555555555555547</v>
      </c>
    </row>
    <row r="399" spans="1:7" x14ac:dyDescent="0.15">
      <c r="A399" t="str">
        <f>HYPERLINK("./new_k5/query_cmdrels_weight_analyze/0.2_0.2_0.6/ul_38209.xlsx","ul_38209")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HYPERLINK("./new_k5/query_cmdrels_weight_analyze/0.2_0.2_0.6/ul_41246.xlsx","ul_41246")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HYPERLINK("./new_k5/query_cmdrels_weight_analyze/0.2_0.2_0.6/ul_41362.xlsx","ul_41362")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6.25E-2</v>
      </c>
    </row>
    <row r="402" spans="1:7" x14ac:dyDescent="0.15">
      <c r="A402" t="str">
        <f>HYPERLINK("./new_k5/query_cmdrels_weight_analyze/0.2_0.2_0.6/ul_48200.xlsx","ul_48200")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HYPERLINK("./new_k5/query_cmdrels_weight_analyze/0.2_0.2_0.6/ul_50098.xlsx","ul_50098")</f>
        <v>ul_50098</v>
      </c>
      <c r="B403">
        <v>0</v>
      </c>
      <c r="C403">
        <v>0.1</v>
      </c>
      <c r="D403">
        <v>0.1166666666666667</v>
      </c>
      <c r="E403">
        <v>0.16666666666666671</v>
      </c>
      <c r="F403">
        <v>0.1166666666666667</v>
      </c>
      <c r="G403">
        <v>0.24166666666666661</v>
      </c>
    </row>
    <row r="404" spans="1:7" x14ac:dyDescent="0.15">
      <c r="A404" t="str">
        <f>HYPERLINK("./new_k5/query_cmdrels_weight_analyze/0.2_0.2_0.6/ul_50785.xlsx","ul_50785")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HYPERLINK("./new_k5/query_cmdrels_weight_analyze/0.2_0.2_0.6/ul_5085.xlsx","ul_5085")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HYPERLINK("./new_k5/query_cmdrels_weight_analyze/0.2_0.2_0.6/ul_53737.xlsx","ul_53737")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HYPERLINK("./new_k5/query_cmdrels_weight_analyze/0.2_0.2_0.6/ul_55125.xlsx","ul_55125")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HYPERLINK("./new_k5/query_cmdrels_weight_analyze/0.2_0.2_0.6/ul_56453.xlsx","ul_56453")</f>
        <v>ul_56453</v>
      </c>
      <c r="B408">
        <v>0</v>
      </c>
      <c r="C408">
        <v>0</v>
      </c>
      <c r="D408">
        <v>8.3333333333333329E-2</v>
      </c>
      <c r="E408">
        <v>0.125</v>
      </c>
      <c r="F408">
        <v>8.3333333333333329E-2</v>
      </c>
      <c r="G408">
        <v>0.125</v>
      </c>
    </row>
    <row r="409" spans="1:7" x14ac:dyDescent="0.15">
      <c r="A409" t="str">
        <f>HYPERLINK("./new_k5/query_cmdrels_weight_analyze/0.2_0.2_0.6/ul_63648.xlsx","ul_63648")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HYPERLINK("./new_k5/query_cmdrels_weight_analyze/0.2_0.2_0.6/ul_6402.xlsx","ul_6402")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0.33333333333333331</v>
      </c>
    </row>
    <row r="411" spans="1:7" x14ac:dyDescent="0.15">
      <c r="A411" t="str">
        <f>HYPERLINK("./new_k5/query_cmdrels_weight_analyze/0.2_0.2_0.6/ul_65106.xlsx","ul_65106")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0.91666666666666663</v>
      </c>
    </row>
    <row r="412" spans="1:7" x14ac:dyDescent="0.15">
      <c r="A412" t="str">
        <f>HYPERLINK("./new_k5/query_cmdrels_weight_analyze/0.2_0.2_0.6/ul_65932.xlsx","ul_65932")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HYPERLINK("./new_k5/query_cmdrels_weight_analyze/0.2_0.2_0.6/ul_6596.xlsx","ul_6596")</f>
        <v>ul_6596</v>
      </c>
      <c r="B413">
        <v>0.2</v>
      </c>
      <c r="C413">
        <v>0.2</v>
      </c>
      <c r="D413">
        <v>0.6</v>
      </c>
      <c r="E413">
        <v>0.6</v>
      </c>
      <c r="F413">
        <v>0.6</v>
      </c>
      <c r="G413">
        <v>0.76</v>
      </c>
    </row>
    <row r="414" spans="1:7" x14ac:dyDescent="0.15">
      <c r="A414" t="str">
        <f>HYPERLINK("./new_k5/query_cmdrels_weight_analyze/0.2_0.2_0.6/ul_67503.xlsx","ul_67503")</f>
        <v>ul_67503</v>
      </c>
      <c r="B414">
        <v>0</v>
      </c>
      <c r="C414">
        <v>0.5</v>
      </c>
      <c r="D414">
        <v>0.25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HYPERLINK("./new_k5/query_cmdrels_weight_analyze/0.2_0.2_0.6/ul_67592.xlsx","ul_67592")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HYPERLINK("./new_k5/query_cmdrels_weight_analyze/0.2_0.2_0.6/ul_70581.xlsx","ul_70581")</f>
        <v>ul_70581</v>
      </c>
      <c r="B416">
        <v>0</v>
      </c>
      <c r="C416">
        <v>0</v>
      </c>
      <c r="D416">
        <v>0.1</v>
      </c>
      <c r="E416">
        <v>6.6666666666666666E-2</v>
      </c>
      <c r="F416">
        <v>0.1</v>
      </c>
      <c r="G416">
        <v>0.16666666666666671</v>
      </c>
    </row>
    <row r="417" spans="1:7" x14ac:dyDescent="0.15">
      <c r="A417" t="str">
        <f>HYPERLINK("./new_k5/query_cmdrels_weight_analyze/0.2_0.2_0.6/ul_70614.xlsx","ul_70614")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HYPERLINK("./new_k5/query_cmdrels_weight_analyze/0.2_0.2_0.6/ul_71465.xlsx","ul_71465")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HYPERLINK("./new_k5/query_cmdrels_weight_analyze/0.2_0.2_0.6/ul_7226.xlsx","ul_7226")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0.55555555555555547</v>
      </c>
      <c r="F419">
        <v>0.33333333333333331</v>
      </c>
      <c r="G419">
        <v>0.55555555555555547</v>
      </c>
    </row>
    <row r="420" spans="1:7" x14ac:dyDescent="0.15">
      <c r="A420" t="str">
        <f>HYPERLINK("./new_k5/query_cmdrels_weight_analyze/0.2_0.2_0.6/ul_78182.xlsx","ul_78182")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HYPERLINK("./new_k5/query_cmdrels_weight_analyze/0.2_0.2_0.6/ul_79678.xlsx","ul_79678")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HYPERLINK("./new_k5/query_cmdrels_weight_analyze/0.2_0.2_0.6/ul_79702.xlsx","ul_79702")</f>
        <v>ul_79702</v>
      </c>
      <c r="B422">
        <v>0</v>
      </c>
      <c r="C422">
        <v>0.33333333333333331</v>
      </c>
      <c r="D422">
        <v>0</v>
      </c>
      <c r="E422">
        <v>0.66666666666666663</v>
      </c>
      <c r="F422">
        <v>0</v>
      </c>
      <c r="G422">
        <v>0.8666666666666667</v>
      </c>
    </row>
    <row r="423" spans="1:7" x14ac:dyDescent="0.15">
      <c r="A423" t="str">
        <f>HYPERLINK("./new_k5/query_cmdrels_weight_analyze/0.2_0.2_0.6/ul_83593.xlsx","ul_83593")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HYPERLINK("./new_k5/query_cmdrels_weight_analyze/0.2_0.2_0.6/ul_84381.xlsx","ul_84381")</f>
        <v>ul_84381</v>
      </c>
      <c r="B424">
        <v>0</v>
      </c>
      <c r="C424">
        <v>0.33333333333333331</v>
      </c>
      <c r="D424">
        <v>0.16666666666666671</v>
      </c>
      <c r="E424">
        <v>0.33333333333333331</v>
      </c>
      <c r="F424">
        <v>0.16666666666666671</v>
      </c>
      <c r="G424">
        <v>0.33333333333333331</v>
      </c>
    </row>
    <row r="425" spans="1:7" x14ac:dyDescent="0.15">
      <c r="A425" t="str">
        <f>HYPERLINK("./new_k5/query_cmdrels_weight_analyze/0.2_0.2_0.6/ul_85180.xlsx","ul_85180")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0.27777777777777768</v>
      </c>
    </row>
    <row r="426" spans="1:7" x14ac:dyDescent="0.15">
      <c r="A426" t="str">
        <f>HYPERLINK("./new_k5/query_cmdrels_weight_analyze/0.2_0.2_0.6/ul_86071.xlsx","ul_86071")</f>
        <v>ul_86071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0.125</v>
      </c>
    </row>
    <row r="427" spans="1:7" x14ac:dyDescent="0.15">
      <c r="A427" t="str">
        <f>HYPERLINK("./new_k5/query_cmdrels_weight_analyze/0.2_0.2_0.6/ul_86729.xlsx","ul_86729")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HYPERLINK("./new_k5/query_cmdrels_weight_analyze/0.2_0.2_0.6/ul_88824.xlsx","ul_88824")</f>
        <v>ul_88824</v>
      </c>
      <c r="B428">
        <v>0</v>
      </c>
      <c r="C428">
        <v>0.33333333333333331</v>
      </c>
      <c r="D428">
        <v>0</v>
      </c>
      <c r="E428">
        <v>0.66666666666666663</v>
      </c>
      <c r="F428">
        <v>0</v>
      </c>
      <c r="G428">
        <v>0.66666666666666663</v>
      </c>
    </row>
    <row r="429" spans="1:7" x14ac:dyDescent="0.15">
      <c r="A429" t="str">
        <f>HYPERLINK("./new_k5/query_cmdrels_weight_analyze/0.2_0.2_0.6/ul_8945.xlsx","ul_8945")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HYPERLINK("./new_k5/query_cmdrels_weight_analyze/0.2_0.2_0.6/ul_89933.xlsx","ul_89933")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HYPERLINK("./new_k5/query_cmdrels_weight_analyze/0.2_0.2_0.6/ul_91297.xlsx","ul_91297")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HYPERLINK("./new_k5/query_cmdrels_weight_analyze/0.2_0.2_0.6/ul_9252.xlsx","ul_9252")</f>
        <v>ul_9252</v>
      </c>
      <c r="B432">
        <v>0</v>
      </c>
      <c r="C432">
        <v>0</v>
      </c>
      <c r="D432">
        <v>0.23333333333333331</v>
      </c>
      <c r="E432">
        <v>0.1</v>
      </c>
      <c r="F432">
        <v>0.23333333333333331</v>
      </c>
      <c r="G432">
        <v>0.18</v>
      </c>
    </row>
    <row r="433" spans="1:7" x14ac:dyDescent="0.15">
      <c r="A433" t="str">
        <f>HYPERLINK("./new_k5/query_cmdrels_weight_analyze/0.2_0.2_0.6/ul_92560.xlsx","ul_92560")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0.75</v>
      </c>
    </row>
    <row r="434" spans="1:7" x14ac:dyDescent="0.15">
      <c r="A434" t="str">
        <f>HYPERLINK("./new_k5/query_cmdrels_weight_analyze/0.2_0.2_0.6/ul_92799.xlsx","ul_92799")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0.27777777777777768</v>
      </c>
      <c r="F434">
        <v>0.53611111111111109</v>
      </c>
      <c r="G434">
        <v>0.53611111111111109</v>
      </c>
    </row>
    <row r="435" spans="1:7" x14ac:dyDescent="0.15">
      <c r="A435" t="str">
        <f>HYPERLINK("./new_k5/query_cmdrels_weight_analyze/0.2_0.2_0.6/ul_93139.xlsx","ul_93139")</f>
        <v>ul_93139</v>
      </c>
      <c r="B435">
        <v>0</v>
      </c>
      <c r="C435">
        <v>0.5</v>
      </c>
      <c r="D435">
        <v>0.25</v>
      </c>
      <c r="E435">
        <v>0.5</v>
      </c>
      <c r="F435">
        <v>0.25</v>
      </c>
      <c r="G435">
        <v>0.5</v>
      </c>
    </row>
    <row r="436" spans="1:7" x14ac:dyDescent="0.15">
      <c r="A436" t="str">
        <f>HYPERLINK("./new_k5/query_cmdrels_weight_analyze/0.2_0.2_0.6/ul_98461.xlsx","ul_98461")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HYPERLINK("./new_k5/query_cmdrels_weight_analyze/0.2_0.3_0.5/au_102733.xlsx","au_102733")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HYPERLINK("./new_k5/query_cmdrels_weight_analyze/0.2_0.3_0.5/au_1029436.xlsx","au_1029436")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HYPERLINK("./new_k5/query_cmdrels_weight_analyze/0.2_0.3_0.5/au_1029502.xlsx","au_1029502")</f>
        <v>au_1029502</v>
      </c>
      <c r="B5">
        <v>0.25</v>
      </c>
      <c r="C5">
        <v>0.25</v>
      </c>
      <c r="D5">
        <v>0.25</v>
      </c>
      <c r="E5">
        <v>0.25</v>
      </c>
      <c r="F5">
        <v>0.375</v>
      </c>
      <c r="G5">
        <v>0.25</v>
      </c>
    </row>
    <row r="6" spans="1:7" x14ac:dyDescent="0.15">
      <c r="A6" t="str">
        <f>HYPERLINK("./new_k5/query_cmdrels_weight_analyze/0.2_0.3_0.5/au_1029531.xlsx","au_1029531")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HYPERLINK("./new_k5/query_cmdrels_weight_analyze/0.2_0.3_0.5/au_104542.xlsx","au_104542")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HYPERLINK("./new_k5/query_cmdrels_weight_analyze/0.2_0.3_0.5/au_109070.xlsx","au_109070")</f>
        <v>au_109070</v>
      </c>
      <c r="B8">
        <v>0</v>
      </c>
      <c r="C8">
        <v>0</v>
      </c>
      <c r="D8">
        <v>0.23333333333333331</v>
      </c>
      <c r="E8">
        <v>0</v>
      </c>
      <c r="F8">
        <v>0.3833333333333333</v>
      </c>
      <c r="G8">
        <v>0.05</v>
      </c>
    </row>
    <row r="9" spans="1:7" x14ac:dyDescent="0.15">
      <c r="A9" t="str">
        <f>HYPERLINK("./new_k5/query_cmdrels_weight_analyze/0.2_0.3_0.5/au_109381.xlsx","au_109381")</f>
        <v>au_109381</v>
      </c>
      <c r="B9">
        <v>0</v>
      </c>
      <c r="C9">
        <v>0</v>
      </c>
      <c r="D9">
        <v>0.25</v>
      </c>
      <c r="E9">
        <v>0.25</v>
      </c>
      <c r="F9">
        <v>0.25</v>
      </c>
      <c r="G9">
        <v>0.25</v>
      </c>
    </row>
    <row r="10" spans="1:7" x14ac:dyDescent="0.15">
      <c r="A10" t="str">
        <f>HYPERLINK("./new_k5/query_cmdrels_weight_analyze/0.2_0.3_0.5/au_110477.xlsx","au_110477")</f>
        <v>au_110477</v>
      </c>
      <c r="B10">
        <v>0.25</v>
      </c>
      <c r="C10">
        <v>0.25</v>
      </c>
      <c r="D10">
        <v>0.5</v>
      </c>
      <c r="E10">
        <v>0.5</v>
      </c>
      <c r="F10">
        <v>0.5</v>
      </c>
      <c r="G10">
        <v>0.6875</v>
      </c>
    </row>
    <row r="11" spans="1:7" x14ac:dyDescent="0.15">
      <c r="A11" t="str">
        <f>HYPERLINK("./new_k5/query_cmdrels_weight_analyze/0.2_0.3_0.5/au_111678.xlsx","au_111678")</f>
        <v>au_111678</v>
      </c>
      <c r="B11">
        <v>0</v>
      </c>
      <c r="C11">
        <v>0.33333333333333331</v>
      </c>
      <c r="D11">
        <v>0.1111111111111111</v>
      </c>
      <c r="E11">
        <v>0.33333333333333331</v>
      </c>
      <c r="F11">
        <v>0.1111111111111111</v>
      </c>
      <c r="G11">
        <v>0.33333333333333331</v>
      </c>
    </row>
    <row r="12" spans="1:7" x14ac:dyDescent="0.15">
      <c r="A12" t="str">
        <f>HYPERLINK("./new_k5/query_cmdrels_weight_analyze/0.2_0.3_0.5/au_112512.xlsx","au_112512")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HYPERLINK("./new_k5/query_cmdrels_weight_analyze/0.2_0.3_0.5/au_115369.xlsx","au_115369")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HYPERLINK("./new_k5/query_cmdrels_weight_analyze/0.2_0.3_0.5/au_11789.xlsx","au_11789")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HYPERLINK("./new_k5/query_cmdrels_weight_analyze/0.2_0.3_0.5/au_117950.xlsx","au_117950")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0.125</v>
      </c>
    </row>
    <row r="16" spans="1:7" x14ac:dyDescent="0.15">
      <c r="A16" t="str">
        <f>HYPERLINK("./new_k5/query_cmdrels_weight_analyze/0.2_0.3_0.5/au_122113.xlsx","au_122113")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HYPERLINK("./new_k5/query_cmdrels_weight_analyze/0.2_0.3_0.5/au_123798.xlsx","au_123798")</f>
        <v>au_123798</v>
      </c>
      <c r="B17">
        <v>0</v>
      </c>
      <c r="C17">
        <v>0</v>
      </c>
      <c r="D17">
        <v>5.5555555555555552E-2</v>
      </c>
      <c r="E17">
        <v>5.5555555555555552E-2</v>
      </c>
      <c r="F17">
        <v>0.23888888888888879</v>
      </c>
      <c r="G17">
        <v>0.23888888888888879</v>
      </c>
    </row>
    <row r="18" spans="1:7" x14ac:dyDescent="0.15">
      <c r="A18" t="str">
        <f>HYPERLINK("./new_k5/query_cmdrels_weight_analyze/0.2_0.3_0.5/au_125257.xlsx","au_125257")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HYPERLINK("./new_k5/query_cmdrels_weight_analyze/0.2_0.3_0.5/au_126153.xlsx","au_126153")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0.27777777777777768</v>
      </c>
      <c r="F19">
        <v>0.45833333333333331</v>
      </c>
      <c r="G19">
        <v>0.40277777777777768</v>
      </c>
    </row>
    <row r="20" spans="1:7" x14ac:dyDescent="0.15">
      <c r="A20" t="str">
        <f>HYPERLINK("./new_k5/query_cmdrels_weight_analyze/0.2_0.3_0.5/au_127326.xlsx","au_127326")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HYPERLINK("./new_k5/query_cmdrels_weight_analyze/0.2_0.3_0.5/au_128463.xlsx","au_128463")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HYPERLINK("./new_k5/query_cmdrels_weight_analyze/0.2_0.3_0.5/au_130393.xlsx","au_130393")</f>
        <v>au_130393</v>
      </c>
      <c r="B22">
        <v>0</v>
      </c>
      <c r="C22">
        <v>0.25</v>
      </c>
      <c r="D22">
        <v>0.125</v>
      </c>
      <c r="E22">
        <v>0.25</v>
      </c>
      <c r="F22">
        <v>0.125</v>
      </c>
      <c r="G22">
        <v>0.375</v>
      </c>
    </row>
    <row r="23" spans="1:7" x14ac:dyDescent="0.15">
      <c r="A23" t="str">
        <f>HYPERLINK("./new_k5/query_cmdrels_weight_analyze/0.2_0.3_0.5/au_131570.xlsx","au_131570")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HYPERLINK("./new_k5/query_cmdrels_weight_analyze/0.2_0.3_0.5/au_133318.xlsx","au_133318")</f>
        <v>au_133318</v>
      </c>
      <c r="B24">
        <v>0</v>
      </c>
      <c r="C24">
        <v>0.25</v>
      </c>
      <c r="D24">
        <v>0</v>
      </c>
      <c r="E24">
        <v>0.25</v>
      </c>
      <c r="F24">
        <v>0</v>
      </c>
      <c r="G24">
        <v>0.375</v>
      </c>
    </row>
    <row r="25" spans="1:7" x14ac:dyDescent="0.15">
      <c r="A25" t="str">
        <f>HYPERLINK("./new_k5/query_cmdrels_weight_analyze/0.2_0.3_0.5/au_133343.xlsx","au_133343")</f>
        <v>au_133343</v>
      </c>
      <c r="B25">
        <v>0</v>
      </c>
      <c r="C25">
        <v>0</v>
      </c>
      <c r="D25">
        <v>0</v>
      </c>
      <c r="E25">
        <v>0.1111111111111111</v>
      </c>
      <c r="F25">
        <v>0</v>
      </c>
      <c r="G25">
        <v>0.27777777777777768</v>
      </c>
    </row>
    <row r="26" spans="1:7" x14ac:dyDescent="0.15">
      <c r="A26" t="str">
        <f>HYPERLINK("./new_k5/query_cmdrels_weight_analyze/0.2_0.3_0.5/au_133389.xlsx","au_133389")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HYPERLINK("./new_k5/query_cmdrels_weight_analyze/0.2_0.3_0.5/au_141277.xlsx","au_141277")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HYPERLINK("./new_k5/query_cmdrels_weight_analyze/0.2_0.3_0.5/au_143819.xlsx","au_143819")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HYPERLINK("./new_k5/query_cmdrels_weight_analyze/0.2_0.3_0.5/au_145935.xlsx","au_145935")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HYPERLINK("./new_k5/query_cmdrels_weight_analyze/0.2_0.3_0.5/au_147241.xlsx","au_147241")</f>
        <v>au_147241</v>
      </c>
      <c r="B30">
        <v>0</v>
      </c>
      <c r="C30">
        <v>0</v>
      </c>
      <c r="D30">
        <v>0.29166666666666657</v>
      </c>
      <c r="E30">
        <v>0.125</v>
      </c>
      <c r="F30">
        <v>0.29166666666666657</v>
      </c>
      <c r="G30">
        <v>0.25</v>
      </c>
    </row>
    <row r="31" spans="1:7" x14ac:dyDescent="0.15">
      <c r="A31" t="str">
        <f>HYPERLINK("./new_k5/query_cmdrels_weight_analyze/0.2_0.3_0.5/au_147800.xlsx","au_147800")</f>
        <v>au_147800</v>
      </c>
      <c r="B31">
        <v>0</v>
      </c>
      <c r="C31">
        <v>0</v>
      </c>
      <c r="D31">
        <v>0.1111111111111111</v>
      </c>
      <c r="E31">
        <v>0.1111111111111111</v>
      </c>
      <c r="F31">
        <v>0.1111111111111111</v>
      </c>
      <c r="G31">
        <v>0.1111111111111111</v>
      </c>
    </row>
    <row r="32" spans="1:7" x14ac:dyDescent="0.15">
      <c r="A32" t="str">
        <f>HYPERLINK("./new_k5/query_cmdrels_weight_analyze/0.2_0.3_0.5/au_148321.xlsx","au_148321")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0.40277777777777768</v>
      </c>
    </row>
    <row r="33" spans="1:7" x14ac:dyDescent="0.15">
      <c r="A33" t="str">
        <f>HYPERLINK("./new_k5/query_cmdrels_weight_analyze/0.2_0.3_0.5/au_148638.xlsx","au_148638")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HYPERLINK("./new_k5/query_cmdrels_weight_analyze/0.2_0.3_0.5/au_151049.xlsx","au_151049")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HYPERLINK("./new_k5/query_cmdrels_weight_analyze/0.2_0.3_0.5/au_151941.xlsx","au_151941")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HYPERLINK("./new_k5/query_cmdrels_weight_analyze/0.2_0.3_0.5/au_152297.xlsx","au_152297")</f>
        <v>au_152297</v>
      </c>
      <c r="B36">
        <v>0</v>
      </c>
      <c r="C36">
        <v>0.14285714285714279</v>
      </c>
      <c r="D36">
        <v>7.1428571428571425E-2</v>
      </c>
      <c r="E36">
        <v>0.23809523809523811</v>
      </c>
      <c r="F36">
        <v>7.1428571428571425E-2</v>
      </c>
      <c r="G36">
        <v>0.32380952380952382</v>
      </c>
    </row>
    <row r="37" spans="1:7" x14ac:dyDescent="0.15">
      <c r="A37" t="str">
        <f>HYPERLINK("./new_k5/query_cmdrels_weight_analyze/0.2_0.3_0.5/au_153976.xlsx","au_153976")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0.27777777777777768</v>
      </c>
      <c r="F37">
        <v>0.33333333333333331</v>
      </c>
      <c r="G37">
        <v>0.37777777777777782</v>
      </c>
    </row>
    <row r="38" spans="1:7" x14ac:dyDescent="0.15">
      <c r="A38" t="str">
        <f>HYPERLINK("./new_k5/query_cmdrels_weight_analyze/0.2_0.3_0.5/au_154431.xlsx","au_154431")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HYPERLINK("./new_k5/query_cmdrels_weight_analyze/0.2_0.3_0.5/au_159708.xlsx","au_159708")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0.55555555555555547</v>
      </c>
      <c r="F39">
        <v>0.33333333333333331</v>
      </c>
      <c r="G39">
        <v>0.55555555555555547</v>
      </c>
    </row>
    <row r="40" spans="1:7" x14ac:dyDescent="0.15">
      <c r="A40" t="str">
        <f>HYPERLINK("./new_k5/query_cmdrels_weight_analyze/0.2_0.3_0.5/au_160869.xlsx","au_160869")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HYPERLINK("./new_k5/query_cmdrels_weight_analyze/0.2_0.3_0.5/au_161313.xlsx","au_161313")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</v>
      </c>
    </row>
    <row r="42" spans="1:7" x14ac:dyDescent="0.15">
      <c r="A42" t="str">
        <f>HYPERLINK("./new_k5/query_cmdrels_weight_analyze/0.2_0.3_0.5/au_162075.xlsx","au_162075")</f>
        <v>au_162075</v>
      </c>
      <c r="B42">
        <v>0.25</v>
      </c>
      <c r="C42">
        <v>0.25</v>
      </c>
      <c r="D42">
        <v>0.5</v>
      </c>
      <c r="E42">
        <v>0.5</v>
      </c>
      <c r="F42">
        <v>0.5</v>
      </c>
      <c r="G42">
        <v>0.5</v>
      </c>
    </row>
    <row r="43" spans="1:7" x14ac:dyDescent="0.15">
      <c r="A43" t="str">
        <f>HYPERLINK("./new_k5/query_cmdrels_weight_analyze/0.2_0.3_0.5/au_16277.xlsx","au_16277")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0.66666666666666663</v>
      </c>
    </row>
    <row r="44" spans="1:7" x14ac:dyDescent="0.15">
      <c r="A44" t="str">
        <f>HYPERLINK("./new_k5/query_cmdrels_weight_analyze/0.2_0.3_0.5/au_163155.xlsx","au_163155")</f>
        <v>au_163155</v>
      </c>
      <c r="B44">
        <v>0.125</v>
      </c>
      <c r="C44">
        <v>0.125</v>
      </c>
      <c r="D44">
        <v>0.375</v>
      </c>
      <c r="E44">
        <v>0.25</v>
      </c>
      <c r="F44">
        <v>0.5</v>
      </c>
      <c r="G44">
        <v>0.34375</v>
      </c>
    </row>
    <row r="45" spans="1:7" x14ac:dyDescent="0.15">
      <c r="A45" t="str">
        <f>HYPERLINK("./new_k5/query_cmdrels_weight_analyze/0.2_0.3_0.5/au_164473.xlsx","au_164473")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HYPERLINK("./new_k5/query_cmdrels_weight_analyze/0.2_0.3_0.5/au_16584.xlsx","au_16584")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9.0909090909090912E-2</v>
      </c>
      <c r="F46">
        <v>0.13636363636363641</v>
      </c>
      <c r="G46">
        <v>9.0909090909090912E-2</v>
      </c>
    </row>
    <row r="47" spans="1:7" x14ac:dyDescent="0.15">
      <c r="A47" t="str">
        <f>HYPERLINK("./new_k5/query_cmdrels_weight_analyze/0.2_0.3_0.5/au_166420.xlsx","au_166420")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HYPERLINK("./new_k5/query_cmdrels_weight_analyze/0.2_0.3_0.5/au_169473.xlsx","au_169473")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0.16666666666666671</v>
      </c>
      <c r="F48">
        <v>0.43333333333333329</v>
      </c>
      <c r="G48">
        <v>0.23333333333333331</v>
      </c>
    </row>
    <row r="49" spans="1:7" x14ac:dyDescent="0.15">
      <c r="A49" t="str">
        <f>HYPERLINK("./new_k5/query_cmdrels_weight_analyze/0.2_0.3_0.5/au_169516.xlsx","au_169516")</f>
        <v>au_169516</v>
      </c>
      <c r="B49">
        <v>0.25</v>
      </c>
      <c r="C49">
        <v>0</v>
      </c>
      <c r="D49">
        <v>0.25</v>
      </c>
      <c r="E49">
        <v>0.29166666666666657</v>
      </c>
      <c r="F49">
        <v>0.25</v>
      </c>
      <c r="G49">
        <v>0.29166666666666657</v>
      </c>
    </row>
    <row r="50" spans="1:7" x14ac:dyDescent="0.15">
      <c r="A50" t="str">
        <f>HYPERLINK("./new_k5/query_cmdrels_weight_analyze/0.2_0.3_0.5/au_174292.xlsx","au_174292")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HYPERLINK("./new_k5/query_cmdrels_weight_analyze/0.2_0.3_0.5/au_178481.xlsx","au_178481")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HYPERLINK("./new_k5/query_cmdrels_weight_analyze/0.2_0.3_0.5/au_180925.xlsx","au_180925")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HYPERLINK("./new_k5/query_cmdrels_weight_analyze/0.2_0.3_0.5/au_187888.xlsx","au_187888")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HYPERLINK("./new_k5/query_cmdrels_weight_analyze/0.2_0.3_0.5/au_191390.xlsx","au_191390")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HYPERLINK("./new_k5/query_cmdrels_weight_analyze/0.2_0.3_0.5/au_192798.xlsx","au_192798")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HYPERLINK("./new_k5/query_cmdrels_weight_analyze/0.2_0.3_0.5/au_201775.xlsx","au_201775")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0.55555555555555547</v>
      </c>
      <c r="F56">
        <v>0.66666666666666663</v>
      </c>
      <c r="G56">
        <v>0.75555555555555554</v>
      </c>
    </row>
    <row r="57" spans="1:7" x14ac:dyDescent="0.15">
      <c r="A57" t="str">
        <f>HYPERLINK("./new_k5/query_cmdrels_weight_analyze/0.2_0.3_0.5/au_204166.xlsx","au_204166")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HYPERLINK("./new_k5/query_cmdrels_weight_analyze/0.2_0.3_0.5/au_207447.xlsx","au_207447")</f>
        <v>au_207447</v>
      </c>
      <c r="B58">
        <v>0.33333333333333331</v>
      </c>
      <c r="C58">
        <v>0.33333333333333331</v>
      </c>
      <c r="D58">
        <v>0.33333333333333331</v>
      </c>
      <c r="E58">
        <v>0.33333333333333331</v>
      </c>
      <c r="F58">
        <v>0.33333333333333331</v>
      </c>
      <c r="G58">
        <v>0.46666666666666662</v>
      </c>
    </row>
    <row r="59" spans="1:7" x14ac:dyDescent="0.15">
      <c r="A59" t="str">
        <f>HYPERLINK("./new_k5/query_cmdrels_weight_analyze/0.2_0.3_0.5/au_210680.xlsx","au_210680")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HYPERLINK("./new_k5/query_cmdrels_weight_analyze/0.2_0.3_0.5/au_214246.xlsx","au_214246")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HYPERLINK("./new_k5/query_cmdrels_weight_analyze/0.2_0.3_0.5/au_214643.xlsx","au_214643")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HYPERLINK("./new_k5/query_cmdrels_weight_analyze/0.2_0.3_0.5/au_2194.xlsx","au_2194")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HYPERLINK("./new_k5/query_cmdrels_weight_analyze/0.2_0.3_0.5/au_221962.xlsx","au_221962")</f>
        <v>au_221962</v>
      </c>
      <c r="B63">
        <v>0</v>
      </c>
      <c r="C63">
        <v>0</v>
      </c>
      <c r="D63">
        <v>5.5555555555555552E-2</v>
      </c>
      <c r="E63">
        <v>8.3333333333333329E-2</v>
      </c>
      <c r="F63">
        <v>0.1388888888888889</v>
      </c>
      <c r="G63">
        <v>0.26666666666666672</v>
      </c>
    </row>
    <row r="64" spans="1:7" x14ac:dyDescent="0.15">
      <c r="A64" t="str">
        <f>HYPERLINK("./new_k5/query_cmdrels_weight_analyze/0.2_0.3_0.5/au_22608.xlsx","au_22608")</f>
        <v>au_22608</v>
      </c>
      <c r="B64">
        <v>0.33333333333333331</v>
      </c>
      <c r="C64">
        <v>0.33333333333333331</v>
      </c>
      <c r="D64">
        <v>0.33333333333333331</v>
      </c>
      <c r="E64">
        <v>0.33333333333333331</v>
      </c>
      <c r="F64">
        <v>0.33333333333333331</v>
      </c>
      <c r="G64">
        <v>0.5</v>
      </c>
    </row>
    <row r="65" spans="1:7" x14ac:dyDescent="0.15">
      <c r="A65" t="str">
        <f>HYPERLINK("./new_k5/query_cmdrels_weight_analyze/0.2_0.3_0.5/au_230698.xlsx","au_230698")</f>
        <v>au_230698</v>
      </c>
      <c r="B65">
        <v>0.125</v>
      </c>
      <c r="C65">
        <v>0.125</v>
      </c>
      <c r="D65">
        <v>0.25</v>
      </c>
      <c r="E65">
        <v>0.25</v>
      </c>
      <c r="F65">
        <v>0.32500000000000001</v>
      </c>
      <c r="G65">
        <v>0.34375</v>
      </c>
    </row>
    <row r="66" spans="1:7" x14ac:dyDescent="0.15">
      <c r="A66" t="str">
        <f>HYPERLINK("./new_k5/query_cmdrels_weight_analyze/0.2_0.3_0.5/au_232442.xlsx","au_232442")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HYPERLINK("./new_k5/query_cmdrels_weight_analyze/0.2_0.3_0.5/au_233378.xlsx","au_233378")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HYPERLINK("./new_k5/query_cmdrels_weight_analyze/0.2_0.3_0.5/au_24027.xlsx","au_24027")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HYPERLINK("./new_k5/query_cmdrels_weight_analyze/0.2_0.3_0.5/au_246647.xlsx","au_246647")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HYPERLINK("./new_k5/query_cmdrels_weight_analyze/0.2_0.3_0.5/au_254424.xlsx","au_254424")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HYPERLINK("./new_k5/query_cmdrels_weight_analyze/0.2_0.3_0.5/au_255890.xlsx","au_255890")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HYPERLINK("./new_k5/query_cmdrels_weight_analyze/0.2_0.3_0.5/au_257248.xlsx","au_257248")</f>
        <v>au_257248</v>
      </c>
      <c r="B72">
        <v>0</v>
      </c>
      <c r="C72">
        <v>0.14285714285714279</v>
      </c>
      <c r="D72">
        <v>0.16666666666666671</v>
      </c>
      <c r="E72">
        <v>0.23809523809523811</v>
      </c>
      <c r="F72">
        <v>0.25238095238095237</v>
      </c>
      <c r="G72">
        <v>0.32380952380952382</v>
      </c>
    </row>
    <row r="73" spans="1:7" x14ac:dyDescent="0.15">
      <c r="A73" t="str">
        <f>HYPERLINK("./new_k5/query_cmdrels_weight_analyze/0.2_0.3_0.5/au_259354.xlsx","au_259354")</f>
        <v>au_259354</v>
      </c>
      <c r="B73">
        <v>0</v>
      </c>
      <c r="C73">
        <v>0.14285714285714279</v>
      </c>
      <c r="D73">
        <v>0.16666666666666671</v>
      </c>
      <c r="E73">
        <v>0.2857142857142857</v>
      </c>
      <c r="F73">
        <v>0.27380952380952378</v>
      </c>
      <c r="G73">
        <v>0.39285714285714279</v>
      </c>
    </row>
    <row r="74" spans="1:7" x14ac:dyDescent="0.15">
      <c r="A74" t="str">
        <f>HYPERLINK("./new_k5/query_cmdrels_weight_analyze/0.2_0.3_0.5/au_263378.xlsx","au_263378")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0.5</v>
      </c>
    </row>
    <row r="75" spans="1:7" x14ac:dyDescent="0.15">
      <c r="A75" t="str">
        <f>HYPERLINK("./new_k5/query_cmdrels_weight_analyze/0.2_0.3_0.5/au_264215.xlsx","au_264215")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HYPERLINK("./new_k5/query_cmdrels_weight_analyze/0.2_0.3_0.5/au_265176.xlsx","au_265176")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HYPERLINK("./new_k5/query_cmdrels_weight_analyze/0.2_0.3_0.5/au_275704.xlsx","au_275704")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HYPERLINK("./new_k5/query_cmdrels_weight_analyze/0.2_0.3_0.5/au_276669.xlsx","au_276669")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HYPERLINK("./new_k5/query_cmdrels_weight_analyze/0.2_0.3_0.5/au_277565.xlsx","au_277565")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HYPERLINK("./new_k5/query_cmdrels_weight_analyze/0.2_0.3_0.5/au_278403.xlsx","au_278403")</f>
        <v>au_278403</v>
      </c>
      <c r="B80">
        <v>0</v>
      </c>
      <c r="C80">
        <v>0</v>
      </c>
      <c r="D80">
        <v>8.3333333333333329E-2</v>
      </c>
      <c r="E80">
        <v>8.3333333333333329E-2</v>
      </c>
      <c r="F80">
        <v>0.20833333333333329</v>
      </c>
      <c r="G80">
        <v>0.18333333333333329</v>
      </c>
    </row>
    <row r="81" spans="1:7" x14ac:dyDescent="0.15">
      <c r="A81" t="str">
        <f>HYPERLINK("./new_k5/query_cmdrels_weight_analyze/0.2_0.3_0.5/au_28039.xlsx","au_28039")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4.1666666666666657E-2</v>
      </c>
    </row>
    <row r="82" spans="1:7" x14ac:dyDescent="0.15">
      <c r="A82" t="str">
        <f>HYPERLINK("./new_k5/query_cmdrels_weight_analyze/0.2_0.3_0.5/au_281509.xlsx","au_281509")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HYPERLINK("./new_k5/query_cmdrels_weight_analyze/0.2_0.3_0.5/au_282806.xlsx","au_282806")</f>
        <v>au_282806</v>
      </c>
      <c r="B83">
        <v>0</v>
      </c>
      <c r="C83">
        <v>0.33333333333333331</v>
      </c>
      <c r="D83">
        <v>0.38888888888888878</v>
      </c>
      <c r="E83">
        <v>0.55555555555555547</v>
      </c>
      <c r="F83">
        <v>0.38888888888888878</v>
      </c>
      <c r="G83">
        <v>0.80555555555555547</v>
      </c>
    </row>
    <row r="84" spans="1:7" x14ac:dyDescent="0.15">
      <c r="A84" t="str">
        <f>HYPERLINK("./new_k5/query_cmdrels_weight_analyze/0.2_0.3_0.5/au_283559.xlsx","au_283559")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HYPERLINK("./new_k5/query_cmdrels_weight_analyze/0.2_0.3_0.5/au_285539.xlsx","au_285539")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HYPERLINK("./new_k5/query_cmdrels_weight_analyze/0.2_0.3_0.5/au_287532.xlsx","au_287532")</f>
        <v>au_287532</v>
      </c>
      <c r="B86">
        <v>0</v>
      </c>
      <c r="C86">
        <v>0.25</v>
      </c>
      <c r="D86">
        <v>0</v>
      </c>
      <c r="E86">
        <v>0.41666666666666657</v>
      </c>
      <c r="F86">
        <v>0</v>
      </c>
      <c r="G86">
        <v>0.41666666666666657</v>
      </c>
    </row>
    <row r="87" spans="1:7" x14ac:dyDescent="0.15">
      <c r="A87" t="str">
        <f>HYPERLINK("./new_k5/query_cmdrels_weight_analyze/0.2_0.3_0.5/au_294257.xlsx","au_294257")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HYPERLINK("./new_k5/query_cmdrels_weight_analyze/0.2_0.3_0.5/au_296155.xlsx","au_296155")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HYPERLINK("./new_k5/query_cmdrels_weight_analyze/0.2_0.3_0.5/au_299975.xlsx","au_299975")</f>
        <v>au_299975</v>
      </c>
      <c r="B89">
        <v>0.25</v>
      </c>
      <c r="C89">
        <v>0</v>
      </c>
      <c r="D89">
        <v>0.5</v>
      </c>
      <c r="E89">
        <v>0.125</v>
      </c>
      <c r="F89">
        <v>0.6875</v>
      </c>
      <c r="G89">
        <v>0.125</v>
      </c>
    </row>
    <row r="90" spans="1:7" x14ac:dyDescent="0.15">
      <c r="A90" t="str">
        <f>HYPERLINK("./new_k5/query_cmdrels_weight_analyze/0.2_0.3_0.5/au_301096.xlsx","au_301096")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HYPERLINK("./new_k5/query_cmdrels_weight_analyze/0.2_0.3_0.5/au_303593.xlsx","au_303593")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HYPERLINK("./new_k5/query_cmdrels_weight_analyze/0.2_0.3_0.5/au_303849.xlsx","au_303849")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HYPERLINK("./new_k5/query_cmdrels_weight_analyze/0.2_0.3_0.5/au_307541.xlsx","au_307541")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HYPERLINK("./new_k5/query_cmdrels_weight_analyze/0.2_0.3_0.5/au_307688.xlsx","au_307688")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HYPERLINK("./new_k5/query_cmdrels_weight_analyze/0.2_0.3_0.5/au_309047.xlsx","au_309047")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HYPERLINK("./new_k5/query_cmdrels_weight_analyze/0.2_0.3_0.5/au_311558.xlsx","au_311558")</f>
        <v>au_311558</v>
      </c>
      <c r="B96">
        <v>0</v>
      </c>
      <c r="C96">
        <v>0.25</v>
      </c>
      <c r="D96">
        <v>0.29166666666666657</v>
      </c>
      <c r="E96">
        <v>0.25</v>
      </c>
      <c r="F96">
        <v>0.29166666666666657</v>
      </c>
      <c r="G96">
        <v>0.35</v>
      </c>
    </row>
    <row r="97" spans="1:7" x14ac:dyDescent="0.15">
      <c r="A97" t="str">
        <f>HYPERLINK("./new_k5/query_cmdrels_weight_analyze/0.2_0.3_0.5/au_318973.xlsx","au_318973")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HYPERLINK("./new_k5/query_cmdrels_weight_analyze/0.2_0.3_0.5/au_3205.xlsx","au_3205")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HYPERLINK("./new_k5/query_cmdrels_weight_analyze/0.2_0.3_0.5/au_323131.xlsx","au_323131")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HYPERLINK("./new_k5/query_cmdrels_weight_analyze/0.2_0.3_0.5/au_323392.xlsx","au_323392")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HYPERLINK("./new_k5/query_cmdrels_weight_analyze/0.2_0.3_0.5/au_325368.xlsx","au_325368")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HYPERLINK("./new_k5/query_cmdrels_weight_analyze/0.2_0.3_0.5/au_328162.xlsx","au_328162")</f>
        <v>au_328162</v>
      </c>
      <c r="B102">
        <v>0.33333333333333331</v>
      </c>
      <c r="C102">
        <v>0.33333333333333331</v>
      </c>
      <c r="D102">
        <v>1</v>
      </c>
      <c r="E102">
        <v>0.55555555555555547</v>
      </c>
      <c r="F102">
        <v>1</v>
      </c>
      <c r="G102">
        <v>0.80555555555555547</v>
      </c>
    </row>
    <row r="103" spans="1:7" x14ac:dyDescent="0.15">
      <c r="A103" t="str">
        <f>HYPERLINK("./new_k5/query_cmdrels_weight_analyze/0.2_0.3_0.5/au_330148.xlsx","au_330148")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HYPERLINK("./new_k5/query_cmdrels_weight_analyze/0.2_0.3_0.5/au_332315.xlsx","au_332315")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HYPERLINK("./new_k5/query_cmdrels_weight_analyze/0.2_0.3_0.5/au_334081.xlsx","au_334081")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HYPERLINK("./new_k5/query_cmdrels_weight_analyze/0.2_0.3_0.5/au_34077.xlsx","au_34077")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0.5</v>
      </c>
      <c r="F106">
        <v>0.33333333333333331</v>
      </c>
      <c r="G106">
        <v>0.6333333333333333</v>
      </c>
    </row>
    <row r="107" spans="1:7" x14ac:dyDescent="0.15">
      <c r="A107" t="str">
        <f>HYPERLINK("./new_k5/query_cmdrels_weight_analyze/0.2_0.3_0.5/au_341428.xlsx","au_341428")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HYPERLINK("./new_k5/query_cmdrels_weight_analyze/0.2_0.3_0.5/au_341584.xlsx","au_341584")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HYPERLINK("./new_k5/query_cmdrels_weight_analyze/0.2_0.3_0.5/au_346864.xlsx","au_346864")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0.2857142857142857</v>
      </c>
      <c r="F109">
        <v>0.23809523809523811</v>
      </c>
      <c r="G109">
        <v>0.39285714285714279</v>
      </c>
    </row>
    <row r="110" spans="1:7" x14ac:dyDescent="0.15">
      <c r="A110" t="str">
        <f>HYPERLINK("./new_k5/query_cmdrels_weight_analyze/0.2_0.3_0.5/au_351765.xlsx","au_351765")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0.7</v>
      </c>
    </row>
    <row r="111" spans="1:7" x14ac:dyDescent="0.15">
      <c r="A111" t="str">
        <f>HYPERLINK("./new_k5/query_cmdrels_weight_analyze/0.2_0.3_0.5/au_35922.xlsx","au_35922")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HYPERLINK("./new_k5/query_cmdrels_weight_analyze/0.2_0.3_0.5/au_359856.xlsx","au_359856")</f>
        <v>au_359856</v>
      </c>
      <c r="B112">
        <v>0.25</v>
      </c>
      <c r="C112">
        <v>0.25</v>
      </c>
      <c r="D112">
        <v>0.75</v>
      </c>
      <c r="E112">
        <v>0.25</v>
      </c>
      <c r="F112">
        <v>0.95</v>
      </c>
      <c r="G112">
        <v>0.25</v>
      </c>
    </row>
    <row r="113" spans="1:7" x14ac:dyDescent="0.15">
      <c r="A113" t="str">
        <f>HYPERLINK("./new_k5/query_cmdrels_weight_analyze/0.2_0.3_0.5/au_360423.xlsx","au_360423")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HYPERLINK("./new_k5/query_cmdrels_weight_analyze/0.2_0.3_0.5/au_36287.xlsx","au_36287")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HYPERLINK("./new_k5/query_cmdrels_weight_analyze/0.2_0.3_0.5/au_366742.xlsx","au_366742")</f>
        <v>au_366742</v>
      </c>
      <c r="B115">
        <v>0</v>
      </c>
      <c r="C115">
        <v>0</v>
      </c>
      <c r="D115">
        <v>0</v>
      </c>
      <c r="E115">
        <v>0.125</v>
      </c>
      <c r="F115">
        <v>0</v>
      </c>
      <c r="G115">
        <v>0.25</v>
      </c>
    </row>
    <row r="116" spans="1:7" x14ac:dyDescent="0.15">
      <c r="A116" t="str">
        <f>HYPERLINK("./new_k5/query_cmdrels_weight_analyze/0.2_0.3_0.5/au_377937.xlsx","au_377937")</f>
        <v>au_377937</v>
      </c>
      <c r="B116">
        <v>0.25</v>
      </c>
      <c r="C116">
        <v>0.25</v>
      </c>
      <c r="D116">
        <v>0.5</v>
      </c>
      <c r="E116">
        <v>0.75</v>
      </c>
      <c r="F116">
        <v>0.5</v>
      </c>
      <c r="G116">
        <v>0.75</v>
      </c>
    </row>
    <row r="117" spans="1:7" x14ac:dyDescent="0.15">
      <c r="A117" t="str">
        <f>HYPERLINK("./new_k5/query_cmdrels_weight_analyze/0.2_0.3_0.5/au_383997.xlsx","au_383997")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0.42857142857142849</v>
      </c>
      <c r="F117">
        <v>0.2857142857142857</v>
      </c>
      <c r="G117">
        <v>0.54285714285714282</v>
      </c>
    </row>
    <row r="118" spans="1:7" x14ac:dyDescent="0.15">
      <c r="A118" t="str">
        <f>HYPERLINK("./new_k5/query_cmdrels_weight_analyze/0.2_0.3_0.5/au_3883.xlsx","au_3883")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0.35</v>
      </c>
    </row>
    <row r="119" spans="1:7" x14ac:dyDescent="0.15">
      <c r="A119" t="str">
        <f>HYPERLINK("./new_k5/query_cmdrels_weight_analyze/0.2_0.3_0.5/au_396883.xlsx","au_396883")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HYPERLINK("./new_k5/query_cmdrels_weight_analyze/0.2_0.3_0.5/au_39760.xlsx","au_39760")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HYPERLINK("./new_k5/query_cmdrels_weight_analyze/0.2_0.3_0.5/au_398818.xlsx","au_398818")</f>
        <v>au_398818</v>
      </c>
      <c r="B121">
        <v>0.5</v>
      </c>
      <c r="C121">
        <v>0.5</v>
      </c>
      <c r="D121">
        <v>0.83333333333333326</v>
      </c>
      <c r="E121">
        <v>0.5</v>
      </c>
      <c r="F121">
        <v>0.83333333333333326</v>
      </c>
      <c r="G121">
        <v>0.75</v>
      </c>
    </row>
    <row r="122" spans="1:7" x14ac:dyDescent="0.15">
      <c r="A122" t="str">
        <f>HYPERLINK("./new_k5/query_cmdrels_weight_analyze/0.2_0.3_0.5/au_400807.xlsx","au_400807")</f>
        <v>au_400807</v>
      </c>
      <c r="B122">
        <v>0</v>
      </c>
      <c r="C122">
        <v>0.33333333333333331</v>
      </c>
      <c r="D122">
        <v>0.16666666666666671</v>
      </c>
      <c r="E122">
        <v>1</v>
      </c>
      <c r="F122">
        <v>0.16666666666666671</v>
      </c>
      <c r="G122">
        <v>1</v>
      </c>
    </row>
    <row r="123" spans="1:7" x14ac:dyDescent="0.15">
      <c r="A123" t="str">
        <f>HYPERLINK("./new_k5/query_cmdrels_weight_analyze/0.2_0.3_0.5/au_408611.xlsx","au_408611")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HYPERLINK("./new_k5/query_cmdrels_weight_analyze/0.2_0.3_0.5/au_414737.xlsx","au_414737")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HYPERLINK("./new_k5/query_cmdrels_weight_analyze/0.2_0.3_0.5/au_420722.xlsx","au_420722")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HYPERLINK("./new_k5/query_cmdrels_weight_analyze/0.2_0.3_0.5/au_423942.xlsx","au_423942")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HYPERLINK("./new_k5/query_cmdrels_weight_analyze/0.2_0.3_0.5/au_430382.xlsx","au_430382")</f>
        <v>au_430382</v>
      </c>
      <c r="B127">
        <v>0</v>
      </c>
      <c r="C127">
        <v>0.25</v>
      </c>
      <c r="D127">
        <v>0.29166666666666657</v>
      </c>
      <c r="E127">
        <v>0.41666666666666657</v>
      </c>
      <c r="F127">
        <v>0.29166666666666657</v>
      </c>
      <c r="G127">
        <v>0.41666666666666657</v>
      </c>
    </row>
    <row r="128" spans="1:7" x14ac:dyDescent="0.15">
      <c r="A128" t="str">
        <f>HYPERLINK("./new_k5/query_cmdrels_weight_analyze/0.2_0.3_0.5/au_432836.xlsx","au_432836")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HYPERLINK("./new_k5/query_cmdrels_weight_analyze/0.2_0.3_0.5/au_440326.xlsx","au_440326")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HYPERLINK("./new_k5/query_cmdrels_weight_analyze/0.2_0.3_0.5/au_442914.xlsx","au_442914")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HYPERLINK("./new_k5/query_cmdrels_weight_analyze/0.2_0.3_0.5/au_443227.xlsx","au_443227")</f>
        <v>au_443227</v>
      </c>
      <c r="B131">
        <v>0.5</v>
      </c>
      <c r="C131">
        <v>0</v>
      </c>
      <c r="D131">
        <v>0.5</v>
      </c>
      <c r="E131">
        <v>0.25</v>
      </c>
      <c r="F131">
        <v>0.5</v>
      </c>
      <c r="G131">
        <v>0.25</v>
      </c>
    </row>
    <row r="132" spans="1:7" x14ac:dyDescent="0.15">
      <c r="A132" t="str">
        <f>HYPERLINK("./new_k5/query_cmdrels_weight_analyze/0.2_0.3_0.5/au_44534.xlsx","au_44534")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HYPERLINK("./new_k5/query_cmdrels_weight_analyze/0.2_0.3_0.5/au_451805.xlsx","au_451805")</f>
        <v>au_451805</v>
      </c>
      <c r="B133">
        <v>0.33333333333333331</v>
      </c>
      <c r="C133">
        <v>0.33333333333333331</v>
      </c>
      <c r="D133">
        <v>0.33333333333333331</v>
      </c>
      <c r="E133">
        <v>0.33333333333333331</v>
      </c>
      <c r="F133">
        <v>0.33333333333333331</v>
      </c>
      <c r="G133">
        <v>0.33333333333333331</v>
      </c>
    </row>
    <row r="134" spans="1:7" x14ac:dyDescent="0.15">
      <c r="A134" t="str">
        <f>HYPERLINK("./new_k5/query_cmdrels_weight_analyze/0.2_0.3_0.5/au_464264.xlsx","au_464264")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0.16666666666666671</v>
      </c>
    </row>
    <row r="135" spans="1:7" x14ac:dyDescent="0.15">
      <c r="A135" t="str">
        <f>HYPERLINK("./new_k5/query_cmdrels_weight_analyze/0.2_0.3_0.5/au_468808.xlsx","au_468808")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HYPERLINK("./new_k5/query_cmdrels_weight_analyze/0.2_0.3_0.5/au_469143.xlsx","au_469143")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HYPERLINK("./new_k5/query_cmdrels_weight_analyze/0.2_0.3_0.5/au_470237.xlsx","au_470237")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HYPERLINK("./new_k5/query_cmdrels_weight_analyze/0.2_0.3_0.5/au_473037.xlsx","au_473037")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0.125</v>
      </c>
    </row>
    <row r="139" spans="1:7" x14ac:dyDescent="0.15">
      <c r="A139" t="str">
        <f>HYPERLINK("./new_k5/query_cmdrels_weight_analyze/0.2_0.3_0.5/au_48362.xlsx","au_48362")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HYPERLINK("./new_k5/query_cmdrels_weight_analyze/0.2_0.3_0.5/au_488435.xlsx","au_488435")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HYPERLINK("./new_k5/query_cmdrels_weight_analyze/0.2_0.3_0.5/au_493826.xlsx","au_493826")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HYPERLINK("./new_k5/query_cmdrels_weight_analyze/0.2_0.3_0.5/au_502110.xlsx","au_502110")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HYPERLINK("./new_k5/query_cmdrels_weight_analyze/0.2_0.3_0.5/au_50344.xlsx","au_50344")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HYPERLINK("./new_k5/query_cmdrels_weight_analyze/0.2_0.3_0.5/au_511467.xlsx","au_511467")</f>
        <v>au_511467</v>
      </c>
      <c r="B144">
        <v>0</v>
      </c>
      <c r="C144">
        <v>0.16666666666666671</v>
      </c>
      <c r="D144">
        <v>0.19444444444444439</v>
      </c>
      <c r="E144">
        <v>0.16666666666666671</v>
      </c>
      <c r="F144">
        <v>0.19444444444444439</v>
      </c>
      <c r="G144">
        <v>0.25</v>
      </c>
    </row>
    <row r="145" spans="1:7" x14ac:dyDescent="0.15">
      <c r="A145" t="str">
        <f>HYPERLINK("./new_k5/query_cmdrels_weight_analyze/0.2_0.3_0.5/au_513046.xlsx","au_513046")</f>
        <v>au_513046</v>
      </c>
      <c r="B145">
        <v>0.25</v>
      </c>
      <c r="C145">
        <v>0</v>
      </c>
      <c r="D145">
        <v>0.5</v>
      </c>
      <c r="E145">
        <v>0.29166666666666657</v>
      </c>
      <c r="F145">
        <v>0.5</v>
      </c>
      <c r="G145">
        <v>0.29166666666666657</v>
      </c>
    </row>
    <row r="146" spans="1:7" x14ac:dyDescent="0.15">
      <c r="A146" t="str">
        <f>HYPERLINK("./new_k5/query_cmdrels_weight_analyze/0.2_0.3_0.5/au_517354.xlsx","au_517354")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0.32380952380952382</v>
      </c>
    </row>
    <row r="147" spans="1:7" x14ac:dyDescent="0.15">
      <c r="A147" t="str">
        <f>HYPERLINK("./new_k5/query_cmdrels_weight_analyze/0.2_0.3_0.5/au_522431.xlsx","au_522431")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0.3833333333333333</v>
      </c>
    </row>
    <row r="148" spans="1:7" x14ac:dyDescent="0.15">
      <c r="A148" t="str">
        <f>HYPERLINK("./new_k5/query_cmdrels_weight_analyze/0.2_0.3_0.5/au_52773.xlsx","au_52773")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0.04</v>
      </c>
    </row>
    <row r="149" spans="1:7" x14ac:dyDescent="0.15">
      <c r="A149" t="str">
        <f>HYPERLINK("./new_k5/query_cmdrels_weight_analyze/0.2_0.3_0.5/au_528411.xlsx","au_528411")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HYPERLINK("./new_k5/query_cmdrels_weight_analyze/0.2_0.3_0.5/au_53263.xlsx","au_53263")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1</v>
      </c>
    </row>
    <row r="151" spans="1:7" x14ac:dyDescent="0.15">
      <c r="A151" t="str">
        <f>HYPERLINK("./new_k5/query_cmdrels_weight_analyze/0.2_0.3_0.5/au_53444.xlsx","au_53444")</f>
        <v>au_53444</v>
      </c>
      <c r="B151">
        <v>0.5</v>
      </c>
      <c r="C151">
        <v>0</v>
      </c>
      <c r="D151">
        <v>0.5</v>
      </c>
      <c r="E151">
        <v>0</v>
      </c>
      <c r="F151">
        <v>0.5</v>
      </c>
      <c r="G151">
        <v>0.125</v>
      </c>
    </row>
    <row r="152" spans="1:7" x14ac:dyDescent="0.15">
      <c r="A152" t="str">
        <f>HYPERLINK("./new_k5/query_cmdrels_weight_analyze/0.2_0.3_0.5/au_538208.xlsx","au_538208")</f>
        <v>au_538208</v>
      </c>
      <c r="B152">
        <v>0.125</v>
      </c>
      <c r="C152">
        <v>0.125</v>
      </c>
      <c r="D152">
        <v>0.375</v>
      </c>
      <c r="E152">
        <v>0.375</v>
      </c>
      <c r="F152">
        <v>0.5</v>
      </c>
      <c r="G152">
        <v>0.47499999999999998</v>
      </c>
    </row>
    <row r="153" spans="1:7" x14ac:dyDescent="0.15">
      <c r="A153" t="str">
        <f>HYPERLINK("./new_k5/query_cmdrels_weight_analyze/0.2_0.3_0.5/au_53822.xlsx","au_53822")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HYPERLINK("./new_k5/query_cmdrels_weight_analyze/0.2_0.3_0.5/au_539243.xlsx","au_539243")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0.33333333333333331</v>
      </c>
    </row>
    <row r="155" spans="1:7" x14ac:dyDescent="0.15">
      <c r="A155" t="str">
        <f>HYPERLINK("./new_k5/query_cmdrels_weight_analyze/0.2_0.3_0.5/au_558280.xlsx","au_558280")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HYPERLINK("./new_k5/query_cmdrels_weight_analyze/0.2_0.3_0.5/au_558669.xlsx","au_558669")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HYPERLINK("./new_k5/query_cmdrels_weight_analyze/0.2_0.3_0.5/au_55868.xlsx","au_55868")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HYPERLINK("./new_k5/query_cmdrels_weight_analyze/0.2_0.3_0.5/au_561.xlsx","au_561")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0.5</v>
      </c>
    </row>
    <row r="159" spans="1:7" x14ac:dyDescent="0.15">
      <c r="A159" t="str">
        <f>HYPERLINK("./new_k5/query_cmdrels_weight_analyze/0.2_0.3_0.5/au_564567.xlsx","au_564567")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HYPERLINK("./new_k5/query_cmdrels_weight_analyze/0.2_0.3_0.5/au_57994.xlsx","au_57994")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0.5714285714285714</v>
      </c>
    </row>
    <row r="161" spans="1:7" x14ac:dyDescent="0.15">
      <c r="A161" t="str">
        <f>HYPERLINK("./new_k5/query_cmdrels_weight_analyze/0.2_0.3_0.5/au_589210.xlsx","au_589210")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0.375</v>
      </c>
    </row>
    <row r="162" spans="1:7" x14ac:dyDescent="0.15">
      <c r="A162" t="str">
        <f>HYPERLINK("./new_k5/query_cmdrels_weight_analyze/0.2_0.3_0.5/au_5911.xlsx","au_5911")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HYPERLINK("./new_k5/query_cmdrels_weight_analyze/0.2_0.3_0.5/au_59356.xlsx","au_59356")</f>
        <v>au_59356</v>
      </c>
      <c r="B163">
        <v>0</v>
      </c>
      <c r="C163">
        <v>0</v>
      </c>
      <c r="D163">
        <v>0.16666666666666671</v>
      </c>
      <c r="E163">
        <v>0.25</v>
      </c>
      <c r="F163">
        <v>0.16666666666666671</v>
      </c>
      <c r="G163">
        <v>0.25</v>
      </c>
    </row>
    <row r="164" spans="1:7" x14ac:dyDescent="0.15">
      <c r="A164" t="str">
        <f>HYPERLINK("./new_k5/query_cmdrels_weight_analyze/0.2_0.3_0.5/au_609850.xlsx","au_609850")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HYPERLINK("./new_k5/query_cmdrels_weight_analyze/0.2_0.3_0.5/au_61408.xlsx","au_61408")</f>
        <v>au_61408</v>
      </c>
      <c r="B165">
        <v>0</v>
      </c>
      <c r="C165">
        <v>0.33333333333333331</v>
      </c>
      <c r="D165">
        <v>0.16666666666666671</v>
      </c>
      <c r="E165">
        <v>0.55555555555555547</v>
      </c>
      <c r="F165">
        <v>0.16666666666666671</v>
      </c>
      <c r="G165">
        <v>0.55555555555555547</v>
      </c>
    </row>
    <row r="166" spans="1:7" x14ac:dyDescent="0.15">
      <c r="A166" t="str">
        <f>HYPERLINK("./new_k5/query_cmdrels_weight_analyze/0.2_0.3_0.5/au_617850.xlsx","au_617850")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HYPERLINK("./new_k5/query_cmdrels_weight_analyze/0.2_0.3_0.5/au_62073.xlsx","au_62073")</f>
        <v>au_62073</v>
      </c>
      <c r="B167">
        <v>0</v>
      </c>
      <c r="C167">
        <v>0.2</v>
      </c>
      <c r="D167">
        <v>0.23333333333333331</v>
      </c>
      <c r="E167">
        <v>0.33333333333333331</v>
      </c>
      <c r="F167">
        <v>0.23333333333333331</v>
      </c>
      <c r="G167">
        <v>0.45333333333333331</v>
      </c>
    </row>
    <row r="168" spans="1:7" x14ac:dyDescent="0.15">
      <c r="A168" t="str">
        <f>HYPERLINK("./new_k5/query_cmdrels_weight_analyze/0.2_0.3_0.5/au_620930.xlsx","au_620930")</f>
        <v>au_620930</v>
      </c>
      <c r="B168">
        <v>0.2</v>
      </c>
      <c r="C168">
        <v>0.2</v>
      </c>
      <c r="D168">
        <v>0.4</v>
      </c>
      <c r="E168">
        <v>0.4</v>
      </c>
      <c r="F168">
        <v>0.4</v>
      </c>
      <c r="G168">
        <v>0.55000000000000004</v>
      </c>
    </row>
    <row r="169" spans="1:7" x14ac:dyDescent="0.15">
      <c r="A169" t="str">
        <f>HYPERLINK("./new_k5/query_cmdrels_weight_analyze/0.2_0.3_0.5/au_62492.xlsx","au_62492")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HYPERLINK("./new_k5/query_cmdrels_weight_analyze/0.2_0.3_0.5/au_626078.xlsx","au_626078")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HYPERLINK("./new_k5/query_cmdrels_weight_analyze/0.2_0.3_0.5/au_636944.xlsx","au_636944")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HYPERLINK("./new_k5/query_cmdrels_weight_analyze/0.2_0.3_0.5/au_648603.xlsx","au_648603")</f>
        <v>au_648603</v>
      </c>
      <c r="B172">
        <v>0.25</v>
      </c>
      <c r="C172">
        <v>0.25</v>
      </c>
      <c r="D172">
        <v>0.25</v>
      </c>
      <c r="E172">
        <v>0.41666666666666657</v>
      </c>
      <c r="F172">
        <v>0.25</v>
      </c>
      <c r="G172">
        <v>0.56666666666666665</v>
      </c>
    </row>
    <row r="173" spans="1:7" x14ac:dyDescent="0.15">
      <c r="A173" t="str">
        <f>HYPERLINK("./new_k5/query_cmdrels_weight_analyze/0.2_0.3_0.5/au_65331.xlsx","au_65331")</f>
        <v>au_65331</v>
      </c>
      <c r="B173">
        <v>0</v>
      </c>
      <c r="C173">
        <v>0.16666666666666671</v>
      </c>
      <c r="D173">
        <v>8.3333333333333329E-2</v>
      </c>
      <c r="E173">
        <v>0.33333333333333331</v>
      </c>
      <c r="F173">
        <v>0.16666666666666671</v>
      </c>
      <c r="G173">
        <v>0.45833333333333331</v>
      </c>
    </row>
    <row r="174" spans="1:7" x14ac:dyDescent="0.15">
      <c r="A174" t="str">
        <f>HYPERLINK("./new_k5/query_cmdrels_weight_analyze/0.2_0.3_0.5/au_66000.xlsx","au_66000")</f>
        <v>au_66000</v>
      </c>
      <c r="B174">
        <v>0</v>
      </c>
      <c r="C174">
        <v>0.2</v>
      </c>
      <c r="D174">
        <v>0</v>
      </c>
      <c r="E174">
        <v>0.33333333333333331</v>
      </c>
      <c r="F174">
        <v>0</v>
      </c>
      <c r="G174">
        <v>0.64333333333333331</v>
      </c>
    </row>
    <row r="175" spans="1:7" x14ac:dyDescent="0.15">
      <c r="A175" t="str">
        <f>HYPERLINK("./new_k5/query_cmdrels_weight_analyze/0.2_0.3_0.5/au_660846.xlsx","au_660846")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HYPERLINK("./new_k5/query_cmdrels_weight_analyze/0.2_0.3_0.5/au_662935.xlsx","au_662935")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0.25</v>
      </c>
    </row>
    <row r="177" spans="1:7" x14ac:dyDescent="0.15">
      <c r="A177" t="str">
        <f>HYPERLINK("./new_k5/query_cmdrels_weight_analyze/0.2_0.3_0.5/au_67663.xlsx","au_67663")</f>
        <v>au_67663</v>
      </c>
      <c r="B177">
        <v>0</v>
      </c>
      <c r="C177">
        <v>0.25</v>
      </c>
      <c r="D177">
        <v>0.29166666666666657</v>
      </c>
      <c r="E177">
        <v>0.5</v>
      </c>
      <c r="F177">
        <v>0.29166666666666657</v>
      </c>
      <c r="G177">
        <v>0.6875</v>
      </c>
    </row>
    <row r="178" spans="1:7" x14ac:dyDescent="0.15">
      <c r="A178" t="str">
        <f>HYPERLINK("./new_k5/query_cmdrels_weight_analyze/0.2_0.3_0.5/au_68028.xlsx","au_68028")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0.2857142857142857</v>
      </c>
      <c r="F178">
        <v>0.37142857142857139</v>
      </c>
      <c r="G178">
        <v>0.2857142857142857</v>
      </c>
    </row>
    <row r="179" spans="1:7" x14ac:dyDescent="0.15">
      <c r="A179" t="str">
        <f>HYPERLINK("./new_k5/query_cmdrels_weight_analyze/0.2_0.3_0.5/au_681312.xlsx","au_681312")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0.42857142857142849</v>
      </c>
      <c r="F179">
        <v>0.42857142857142849</v>
      </c>
      <c r="G179">
        <v>0.5714285714285714</v>
      </c>
    </row>
    <row r="180" spans="1:7" x14ac:dyDescent="0.15">
      <c r="A180" t="str">
        <f>HYPERLINK("./new_k5/query_cmdrels_weight_analyze/0.2_0.3_0.5/au_686239.xlsx","au_686239")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HYPERLINK("./new_k5/query_cmdrels_weight_analyze/0.2_0.3_0.5/au_68809.xlsx","au_68809")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0.20833333333333329</v>
      </c>
    </row>
    <row r="182" spans="1:7" x14ac:dyDescent="0.15">
      <c r="A182" t="str">
        <f>HYPERLINK("./new_k5/query_cmdrels_weight_analyze/0.2_0.3_0.5/au_69556.xlsx","au_69556")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HYPERLINK("./new_k5/query_cmdrels_weight_analyze/0.2_0.3_0.5/au_698993.xlsx","au_698993")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HYPERLINK("./new_k5/query_cmdrels_weight_analyze/0.2_0.3_0.5/au_707881.xlsx","au_707881")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HYPERLINK("./new_k5/query_cmdrels_weight_analyze/0.2_0.3_0.5/au_709594.xlsx","au_709594")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HYPERLINK("./new_k5/query_cmdrels_weight_analyze/0.2_0.3_0.5/au_71309.xlsx","au_71309")</f>
        <v>au_71309</v>
      </c>
      <c r="B186">
        <v>0.125</v>
      </c>
      <c r="C186">
        <v>0.125</v>
      </c>
      <c r="D186">
        <v>0.20833333333333329</v>
      </c>
      <c r="E186">
        <v>0.20833333333333329</v>
      </c>
      <c r="F186">
        <v>0.20833333333333329</v>
      </c>
      <c r="G186">
        <v>0.30208333333333331</v>
      </c>
    </row>
    <row r="187" spans="1:7" x14ac:dyDescent="0.15">
      <c r="A187" t="str">
        <f>HYPERLINK("./new_k5/query_cmdrels_weight_analyze/0.2_0.3_0.5/au_7138.xlsx","au_7138")</f>
        <v>au_7138</v>
      </c>
      <c r="B187">
        <v>0.25</v>
      </c>
      <c r="C187">
        <v>0</v>
      </c>
      <c r="D187">
        <v>0.75</v>
      </c>
      <c r="E187">
        <v>8.3333333333333329E-2</v>
      </c>
      <c r="F187">
        <v>0.75</v>
      </c>
      <c r="G187">
        <v>0.20833333333333329</v>
      </c>
    </row>
    <row r="188" spans="1:7" x14ac:dyDescent="0.15">
      <c r="A188" t="str">
        <f>HYPERLINK("./new_k5/query_cmdrels_weight_analyze/0.2_0.3_0.5/au_72549.xlsx","au_72549")</f>
        <v>au_72549</v>
      </c>
      <c r="B188">
        <v>0</v>
      </c>
      <c r="C188">
        <v>0</v>
      </c>
      <c r="D188">
        <v>0</v>
      </c>
      <c r="E188">
        <v>8.3333333333333329E-2</v>
      </c>
      <c r="F188">
        <v>0</v>
      </c>
      <c r="G188">
        <v>8.3333333333333329E-2</v>
      </c>
    </row>
    <row r="189" spans="1:7" x14ac:dyDescent="0.15">
      <c r="A189" t="str">
        <f>HYPERLINK("./new_k5/query_cmdrels_weight_analyze/0.2_0.3_0.5/au_740805.xlsx","au_740805")</f>
        <v>au_740805</v>
      </c>
      <c r="B189">
        <v>0.25</v>
      </c>
      <c r="C189">
        <v>0</v>
      </c>
      <c r="D189">
        <v>0.41666666666666657</v>
      </c>
      <c r="E189">
        <v>0.29166666666666657</v>
      </c>
      <c r="F189">
        <v>0.41666666666666657</v>
      </c>
      <c r="G189">
        <v>0.29166666666666657</v>
      </c>
    </row>
    <row r="190" spans="1:7" x14ac:dyDescent="0.15">
      <c r="A190" t="str">
        <f>HYPERLINK("./new_k5/query_cmdrels_weight_analyze/0.2_0.3_0.5/au_760796.xlsx","au_760796")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0.4</v>
      </c>
    </row>
    <row r="191" spans="1:7" x14ac:dyDescent="0.15">
      <c r="A191" t="str">
        <f>HYPERLINK("./new_k5/query_cmdrels_weight_analyze/0.2_0.3_0.5/au_762846.xlsx","au_762846")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0.43333333333333329</v>
      </c>
    </row>
    <row r="192" spans="1:7" x14ac:dyDescent="0.15">
      <c r="A192" t="str">
        <f>HYPERLINK("./new_k5/query_cmdrels_weight_analyze/0.2_0.3_0.5/au_767786.xlsx","au_767786")</f>
        <v>au_767786</v>
      </c>
      <c r="B192">
        <v>0.2</v>
      </c>
      <c r="C192">
        <v>0.2</v>
      </c>
      <c r="D192">
        <v>0.4</v>
      </c>
      <c r="E192">
        <v>0.4</v>
      </c>
      <c r="F192">
        <v>0.4</v>
      </c>
      <c r="G192">
        <v>0.52</v>
      </c>
    </row>
    <row r="193" spans="1:7" x14ac:dyDescent="0.15">
      <c r="A193" t="str">
        <f>HYPERLINK("./new_k5/query_cmdrels_weight_analyze/0.2_0.3_0.5/au_778906.xlsx","au_778906")</f>
        <v>au_778906</v>
      </c>
      <c r="B193">
        <v>0.2</v>
      </c>
      <c r="C193">
        <v>0.2</v>
      </c>
      <c r="D193">
        <v>0.33333333333333331</v>
      </c>
      <c r="E193">
        <v>0.33333333333333331</v>
      </c>
      <c r="F193">
        <v>0.33333333333333331</v>
      </c>
      <c r="G193">
        <v>0.48333333333333328</v>
      </c>
    </row>
    <row r="194" spans="1:7" x14ac:dyDescent="0.15">
      <c r="A194" t="str">
        <f>HYPERLINK("./new_k5/query_cmdrels_weight_analyze/0.2_0.3_0.5/au_818929.xlsx","au_818929")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0.42</v>
      </c>
    </row>
    <row r="195" spans="1:7" x14ac:dyDescent="0.15">
      <c r="A195" t="str">
        <f>HYPERLINK("./new_k5/query_cmdrels_weight_analyze/0.2_0.3_0.5/au_844876.xlsx","au_844876")</f>
        <v>au_844876</v>
      </c>
      <c r="B195">
        <v>0.5</v>
      </c>
      <c r="C195">
        <v>0.5</v>
      </c>
      <c r="D195">
        <v>0.5</v>
      </c>
      <c r="E195">
        <v>0.83333333333333326</v>
      </c>
      <c r="F195">
        <v>0.5</v>
      </c>
      <c r="G195">
        <v>0.83333333333333326</v>
      </c>
    </row>
    <row r="196" spans="1:7" x14ac:dyDescent="0.15">
      <c r="A196" t="str">
        <f>HYPERLINK("./new_k5/query_cmdrels_weight_analyze/0.2_0.3_0.5/au_85318.xlsx","au_85318")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0.52</v>
      </c>
    </row>
    <row r="197" spans="1:7" x14ac:dyDescent="0.15">
      <c r="A197" t="str">
        <f>HYPERLINK("./new_k5/query_cmdrels_weight_analyze/0.2_0.3_0.5/au_854332.xlsx","au_854332")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HYPERLINK("./new_k5/query_cmdrels_weight_analyze/0.2_0.3_0.5/au_854373.xlsx","au_854373")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HYPERLINK("./new_k5/query_cmdrels_weight_analyze/0.2_0.3_0.5/au_86843.xlsx","au_86843")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HYPERLINK("./new_k5/query_cmdrels_weight_analyze/0.2_0.3_0.5/au_88108.xlsx","au_88108")</f>
        <v>au_88108</v>
      </c>
      <c r="B200">
        <v>0</v>
      </c>
      <c r="C200">
        <v>0</v>
      </c>
      <c r="D200">
        <v>0.1</v>
      </c>
      <c r="E200">
        <v>0</v>
      </c>
      <c r="F200">
        <v>0.1</v>
      </c>
      <c r="G200">
        <v>0.04</v>
      </c>
    </row>
    <row r="201" spans="1:7" x14ac:dyDescent="0.15">
      <c r="A201" t="str">
        <f>HYPERLINK("./new_k5/query_cmdrels_weight_analyze/0.2_0.3_0.5/au_90214.xlsx","au_90214")</f>
        <v>au_90214</v>
      </c>
      <c r="B201">
        <v>0</v>
      </c>
      <c r="C201">
        <v>0</v>
      </c>
      <c r="D201">
        <v>0.16666666666666671</v>
      </c>
      <c r="E201">
        <v>0.1111111111111111</v>
      </c>
      <c r="F201">
        <v>0.16666666666666671</v>
      </c>
      <c r="G201">
        <v>0.1111111111111111</v>
      </c>
    </row>
    <row r="202" spans="1:7" x14ac:dyDescent="0.15">
      <c r="A202" t="str">
        <f>HYPERLINK("./new_k5/query_cmdrels_weight_analyze/0.2_0.3_0.5/au_90339.xlsx","au_90339")</f>
        <v>au_90339</v>
      </c>
      <c r="B202">
        <v>0</v>
      </c>
      <c r="C202">
        <v>0</v>
      </c>
      <c r="D202">
        <v>4.7619047619047623E-2</v>
      </c>
      <c r="E202">
        <v>0.16666666666666671</v>
      </c>
      <c r="F202">
        <v>0.2047619047619047</v>
      </c>
      <c r="G202">
        <v>0.16666666666666671</v>
      </c>
    </row>
    <row r="203" spans="1:7" x14ac:dyDescent="0.15">
      <c r="A203" t="str">
        <f>HYPERLINK("./new_k5/query_cmdrels_weight_analyze/0.2_0.3_0.5/au_91286.xlsx","au_91286")</f>
        <v>au_91286</v>
      </c>
      <c r="B203">
        <v>0.5</v>
      </c>
      <c r="C203">
        <v>0</v>
      </c>
      <c r="D203">
        <v>0.5</v>
      </c>
      <c r="E203">
        <v>0.25</v>
      </c>
      <c r="F203">
        <v>0.5</v>
      </c>
      <c r="G203">
        <v>0.25</v>
      </c>
    </row>
    <row r="204" spans="1:7" x14ac:dyDescent="0.15">
      <c r="A204" t="str">
        <f>HYPERLINK("./new_k5/query_cmdrels_weight_analyze/0.2_0.3_0.5/au_9135.xlsx","au_9135")</f>
        <v>au_9135</v>
      </c>
      <c r="B204">
        <v>0.1</v>
      </c>
      <c r="C204">
        <v>0</v>
      </c>
      <c r="D204">
        <v>0.16666666666666671</v>
      </c>
      <c r="E204">
        <v>0.1166666666666667</v>
      </c>
      <c r="F204">
        <v>0.24166666666666661</v>
      </c>
      <c r="G204">
        <v>0.19166666666666671</v>
      </c>
    </row>
    <row r="205" spans="1:7" x14ac:dyDescent="0.15">
      <c r="A205" t="str">
        <f>HYPERLINK("./new_k5/query_cmdrels_weight_analyze/0.2_0.3_0.5/au_935569.xlsx","au_935569")</f>
        <v>au_935569</v>
      </c>
      <c r="B205">
        <v>0.14285714285714279</v>
      </c>
      <c r="C205">
        <v>0.14285714285714279</v>
      </c>
      <c r="D205">
        <v>0.42857142857142849</v>
      </c>
      <c r="E205">
        <v>0.23809523809523811</v>
      </c>
      <c r="F205">
        <v>0.54285714285714282</v>
      </c>
      <c r="G205">
        <v>0.23809523809523811</v>
      </c>
    </row>
    <row r="206" spans="1:7" x14ac:dyDescent="0.15">
      <c r="A206" t="str">
        <f>HYPERLINK("./new_k5/query_cmdrels_weight_analyze/0.2_0.3_0.5/au_97936.xlsx","au_97936")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HYPERLINK("./new_k5/query_cmdrels_weight_analyze/0.2_0.3_0.5/so_10235778.xlsx","so_10235778")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HYPERLINK("./new_k5/query_cmdrels_weight_analyze/0.2_0.3_0.5/so_1045910.xlsx","so_1045910")</f>
        <v>so_1045910</v>
      </c>
      <c r="B208">
        <v>0.25</v>
      </c>
      <c r="C208">
        <v>0</v>
      </c>
      <c r="D208">
        <v>0.25</v>
      </c>
      <c r="E208">
        <v>0.29166666666666657</v>
      </c>
      <c r="F208">
        <v>0.25</v>
      </c>
      <c r="G208">
        <v>0.29166666666666657</v>
      </c>
    </row>
    <row r="209" spans="1:7" x14ac:dyDescent="0.15">
      <c r="A209" t="str">
        <f>HYPERLINK("./new_k5/query_cmdrels_weight_analyze/0.2_0.3_0.5/so_10557360.xlsx","so_10557360")</f>
        <v>so_10557360</v>
      </c>
      <c r="B209">
        <v>0</v>
      </c>
      <c r="C209">
        <v>0</v>
      </c>
      <c r="D209">
        <v>0</v>
      </c>
      <c r="E209">
        <v>0.1</v>
      </c>
      <c r="F209">
        <v>0</v>
      </c>
      <c r="G209">
        <v>0.1</v>
      </c>
    </row>
    <row r="210" spans="1:7" x14ac:dyDescent="0.15">
      <c r="A210" t="str">
        <f>HYPERLINK("./new_k5/query_cmdrels_weight_analyze/0.2_0.3_0.5/so_1058047.xlsx","so_1058047")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0.35</v>
      </c>
    </row>
    <row r="211" spans="1:7" x14ac:dyDescent="0.15">
      <c r="A211" t="str">
        <f>HYPERLINK("./new_k5/query_cmdrels_weight_analyze/0.2_0.3_0.5/so_10829402.xlsx","so_10829402")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HYPERLINK("./new_k5/query_cmdrels_weight_analyze/0.2_0.3_0.5/so_1088098.xlsx","so_1088098")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0.25</v>
      </c>
    </row>
    <row r="213" spans="1:7" x14ac:dyDescent="0.15">
      <c r="A213" t="str">
        <f>HYPERLINK("./new_k5/query_cmdrels_weight_analyze/0.2_0.3_0.5/so_10990949.xlsx","so_10990949")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0.75</v>
      </c>
    </row>
    <row r="214" spans="1:7" x14ac:dyDescent="0.15">
      <c r="A214" t="str">
        <f>HYPERLINK("./new_k5/query_cmdrels_weight_analyze/0.2_0.3_0.5/so_11211705.xlsx","so_11211705")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HYPERLINK("./new_k5/query_cmdrels_weight_analyze/0.2_0.3_0.5/so_112932.xlsx","so_112932")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HYPERLINK("./new_k5/query_cmdrels_weight_analyze/0.2_0.3_0.5/so_11392189.xlsx","so_11392189")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8.3333333333333329E-2</v>
      </c>
    </row>
    <row r="217" spans="1:7" x14ac:dyDescent="0.15">
      <c r="A217" t="str">
        <f>HYPERLINK("./new_k5/query_cmdrels_weight_analyze/0.2_0.3_0.5/so_1183183.xlsx","so_1183183")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HYPERLINK("./new_k5/query_cmdrels_weight_analyze/0.2_0.3_0.5/so_1194882.xlsx","so_1194882")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HYPERLINK("./new_k5/query_cmdrels_weight_analyze/0.2_0.3_0.5/so_12120935.xlsx","so_12120935")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HYPERLINK("./new_k5/query_cmdrels_weight_analyze/0.2_0.3_0.5/so_12313384.xlsx","so_12313384")</f>
        <v>so_12313384</v>
      </c>
      <c r="B220">
        <v>0</v>
      </c>
      <c r="C220">
        <v>0</v>
      </c>
      <c r="D220">
        <v>0.16666666666666671</v>
      </c>
      <c r="E220">
        <v>0.38888888888888878</v>
      </c>
      <c r="F220">
        <v>0.16666666666666671</v>
      </c>
      <c r="G220">
        <v>0.38888888888888878</v>
      </c>
    </row>
    <row r="221" spans="1:7" x14ac:dyDescent="0.15">
      <c r="A221" t="str">
        <f>HYPERLINK("./new_k5/query_cmdrels_weight_analyze/0.2_0.3_0.5/so_12392598.xlsx","so_12392598")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0.23809523809523811</v>
      </c>
      <c r="F221">
        <v>0.2857142857142857</v>
      </c>
      <c r="G221">
        <v>0.45952380952380961</v>
      </c>
    </row>
    <row r="222" spans="1:7" x14ac:dyDescent="0.15">
      <c r="A222" t="str">
        <f>HYPERLINK("./new_k5/query_cmdrels_weight_analyze/0.2_0.3_0.5/so_1241801.xlsx","so_1241801")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HYPERLINK("./new_k5/query_cmdrels_weight_analyze/0.2_0.3_0.5/so_12522269.xlsx","so_12522269")</f>
        <v>so_12522269</v>
      </c>
      <c r="B223">
        <v>0.2</v>
      </c>
      <c r="C223">
        <v>0</v>
      </c>
      <c r="D223">
        <v>0.2</v>
      </c>
      <c r="E223">
        <v>0.1</v>
      </c>
      <c r="F223">
        <v>0.28000000000000003</v>
      </c>
      <c r="G223">
        <v>0.1</v>
      </c>
    </row>
    <row r="224" spans="1:7" x14ac:dyDescent="0.15">
      <c r="A224" t="str">
        <f>HYPERLINK("./new_k5/query_cmdrels_weight_analyze/0.2_0.3_0.5/so_1293907.xlsx","so_1293907")</f>
        <v>so_1293907</v>
      </c>
      <c r="B224">
        <v>0</v>
      </c>
      <c r="C224">
        <v>0.33333333333333331</v>
      </c>
      <c r="D224">
        <v>0</v>
      </c>
      <c r="E224">
        <v>0.33333333333333331</v>
      </c>
      <c r="F224">
        <v>8.3333333333333329E-2</v>
      </c>
      <c r="G224">
        <v>0.70000000000000007</v>
      </c>
    </row>
    <row r="225" spans="1:7" x14ac:dyDescent="0.15">
      <c r="A225" t="str">
        <f>HYPERLINK("./new_k5/query_cmdrels_weight_analyze/0.2_0.3_0.5/so_13428910.xlsx","so_13428910")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HYPERLINK("./new_k5/query_cmdrels_weight_analyze/0.2_0.3_0.5/so_135688.xlsx","so_135688")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HYPERLINK("./new_k5/query_cmdrels_weight_analyze/0.2_0.3_0.5/so_13778273.xlsx","so_13778273")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HYPERLINK("./new_k5/query_cmdrels_weight_analyze/0.2_0.3_0.5/so_1405611.xlsx","so_1405611")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</v>
      </c>
      <c r="F228">
        <v>0.33333333333333331</v>
      </c>
      <c r="G228">
        <v>6.6666666666666666E-2</v>
      </c>
    </row>
    <row r="229" spans="1:7" x14ac:dyDescent="0.15">
      <c r="A229" t="str">
        <f>HYPERLINK("./new_k5/query_cmdrels_weight_analyze/0.2_0.3_0.5/so_14300794.xlsx","so_14300794")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HYPERLINK("./new_k5/query_cmdrels_weight_analyze/0.2_0.3_0.5/so_143791.xlsx","so_143791")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HYPERLINK("./new_k5/query_cmdrels_weight_analyze/0.2_0.3_0.5/so_14750650.xlsx","so_14750650")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6.25E-2</v>
      </c>
    </row>
    <row r="232" spans="1:7" x14ac:dyDescent="0.15">
      <c r="A232" t="str">
        <f>HYPERLINK("./new_k5/query_cmdrels_weight_analyze/0.2_0.3_0.5/so_14978411.xlsx","so_14978411")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HYPERLINK("./new_k5/query_cmdrels_weight_analyze/0.2_0.3_0.5/so_15236308.xlsx","so_15236308")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HYPERLINK("./new_k5/query_cmdrels_weight_analyze/0.2_0.3_0.5/so_15286947.xlsx","so_15286947")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HYPERLINK("./new_k5/query_cmdrels_weight_analyze/0.2_0.3_0.5/so_15402770.xlsx","so_15402770")</f>
        <v>so_15402770</v>
      </c>
      <c r="B235">
        <v>0</v>
      </c>
      <c r="C235">
        <v>0</v>
      </c>
      <c r="D235">
        <v>0.19444444444444439</v>
      </c>
      <c r="E235">
        <v>0.19444444444444439</v>
      </c>
      <c r="F235">
        <v>0.19444444444444439</v>
      </c>
      <c r="G235">
        <v>0.31944444444444442</v>
      </c>
    </row>
    <row r="236" spans="1:7" x14ac:dyDescent="0.15">
      <c r="A236" t="str">
        <f>HYPERLINK("./new_k5/query_cmdrels_weight_analyze/0.2_0.3_0.5/so_1570262.xlsx","so_1570262")</f>
        <v>so_1570262</v>
      </c>
      <c r="B236">
        <v>0</v>
      </c>
      <c r="C236">
        <v>0</v>
      </c>
      <c r="D236">
        <v>0</v>
      </c>
      <c r="E236">
        <v>6.6666666666666666E-2</v>
      </c>
      <c r="F236">
        <v>0</v>
      </c>
      <c r="G236">
        <v>0.1466666666666667</v>
      </c>
    </row>
    <row r="237" spans="1:7" x14ac:dyDescent="0.15">
      <c r="A237" t="str">
        <f>HYPERLINK("./new_k5/query_cmdrels_weight_analyze/0.2_0.3_0.5/so_1583219.xlsx","so_1583219")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HYPERLINK("./new_k5/query_cmdrels_weight_analyze/0.2_0.3_0.5/so_15872543.xlsx","so_15872543")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HYPERLINK("./new_k5/query_cmdrels_weight_analyze/0.2_0.3_0.5/so_16038087.xlsx","so_16038087")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0.54285714285714282</v>
      </c>
    </row>
    <row r="240" spans="1:7" x14ac:dyDescent="0.15">
      <c r="A240" t="str">
        <f>HYPERLINK("./new_k5/query_cmdrels_weight_analyze/0.2_0.3_0.5/so_16212656.xlsx","so_16212656")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HYPERLINK("./new_k5/query_cmdrels_weight_analyze/0.2_0.3_0.5/so_16575419.xlsx","so_16575419")</f>
        <v>so_16575419</v>
      </c>
      <c r="B241">
        <v>0.25</v>
      </c>
      <c r="C241">
        <v>0.25</v>
      </c>
      <c r="D241">
        <v>0.25</v>
      </c>
      <c r="E241">
        <v>0.5</v>
      </c>
      <c r="F241">
        <v>0.25</v>
      </c>
      <c r="G241">
        <v>0.6875</v>
      </c>
    </row>
    <row r="242" spans="1:7" x14ac:dyDescent="0.15">
      <c r="A242" t="str">
        <f>HYPERLINK("./new_k5/query_cmdrels_weight_analyze/0.2_0.3_0.5/so_17582768.xlsx","so_17582768")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6.6666666666666666E-2</v>
      </c>
    </row>
    <row r="243" spans="1:7" x14ac:dyDescent="0.15">
      <c r="A243" t="str">
        <f>HYPERLINK("./new_k5/query_cmdrels_weight_analyze/0.2_0.3_0.5/so_17607612.xlsx","so_17607612")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HYPERLINK("./new_k5/query_cmdrels_weight_analyze/0.2_0.3_0.5/so_17829785.xlsx","so_17829785")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HYPERLINK("./new_k5/query_cmdrels_weight_analyze/0.2_0.3_0.5/so_1839841.xlsx","so_1839841")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HYPERLINK("./new_k5/query_cmdrels_weight_analyze/0.2_0.3_0.5/so_18468716.xlsx","so_18468716")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0.33333333333333331</v>
      </c>
    </row>
    <row r="247" spans="1:7" x14ac:dyDescent="0.15">
      <c r="A247" t="str">
        <f>HYPERLINK("./new_k5/query_cmdrels_weight_analyze/0.2_0.3_0.5/so_19196105.xlsx","so_19196105")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HYPERLINK("./new_k5/query_cmdrels_weight_analyze/0.2_0.3_0.5/so_19482123.xlsx","so_19482123")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HYPERLINK("./new_k5/query_cmdrels_weight_analyze/0.2_0.3_0.5/so_1975849.xlsx","so_1975849")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HYPERLINK("./new_k5/query_cmdrels_weight_analyze/0.2_0.3_0.5/so_212528.xlsx","so_212528")</f>
        <v>so_212528</v>
      </c>
      <c r="B250">
        <v>0</v>
      </c>
      <c r="C250">
        <v>0.16666666666666671</v>
      </c>
      <c r="D250">
        <v>0.19444444444444439</v>
      </c>
      <c r="E250">
        <v>0.5</v>
      </c>
      <c r="F250">
        <v>0.19444444444444439</v>
      </c>
      <c r="G250">
        <v>0.5</v>
      </c>
    </row>
    <row r="251" spans="1:7" x14ac:dyDescent="0.15">
      <c r="A251" t="str">
        <f>HYPERLINK("./new_k5/query_cmdrels_weight_analyze/0.2_0.3_0.5/so_21620406.xlsx","so_21620406")</f>
        <v>so_21620406</v>
      </c>
      <c r="B251">
        <v>0</v>
      </c>
      <c r="C251">
        <v>0</v>
      </c>
      <c r="D251">
        <v>0.1111111111111111</v>
      </c>
      <c r="E251">
        <v>0.16666666666666671</v>
      </c>
      <c r="F251">
        <v>0.1111111111111111</v>
      </c>
      <c r="G251">
        <v>0.16666666666666671</v>
      </c>
    </row>
    <row r="252" spans="1:7" x14ac:dyDescent="0.15">
      <c r="A252" t="str">
        <f>HYPERLINK("./new_k5/query_cmdrels_weight_analyze/0.2_0.3_0.5/so_23509348.xlsx","so_23509348")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HYPERLINK("./new_k5/query_cmdrels_weight_analyze/0.2_0.3_0.5/so_24058544.xlsx","so_24058544")</f>
        <v>so_24058544</v>
      </c>
      <c r="B253">
        <v>0.2</v>
      </c>
      <c r="C253">
        <v>0</v>
      </c>
      <c r="D253">
        <v>0.2</v>
      </c>
      <c r="E253">
        <v>0.1</v>
      </c>
      <c r="F253">
        <v>0.2</v>
      </c>
      <c r="G253">
        <v>0.1</v>
      </c>
    </row>
    <row r="254" spans="1:7" x14ac:dyDescent="0.15">
      <c r="A254" t="str">
        <f>HYPERLINK("./new_k5/query_cmdrels_weight_analyze/0.2_0.3_0.5/so_24283097.xlsx","so_24283097")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HYPERLINK("./new_k5/query_cmdrels_weight_analyze/0.2_0.3_0.5/so_26256279.xlsx","so_26256279")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HYPERLINK("./new_k5/query_cmdrels_weight_analyze/0.2_0.3_0.5/so_26331651.xlsx","so_26331651")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HYPERLINK("./new_k5/query_cmdrels_weight_analyze/0.2_0.3_0.5/so_26988262.xlsx","so_26988262")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HYPERLINK("./new_k5/query_cmdrels_weight_analyze/0.2_0.3_0.5/so_27238411.xlsx","so_27238411")</f>
        <v>so_27238411</v>
      </c>
      <c r="B258">
        <v>0.2</v>
      </c>
      <c r="C258">
        <v>0.2</v>
      </c>
      <c r="D258">
        <v>0.6</v>
      </c>
      <c r="E258">
        <v>0.33333333333333331</v>
      </c>
      <c r="F258">
        <v>0.6</v>
      </c>
      <c r="G258">
        <v>0.48333333333333328</v>
      </c>
    </row>
    <row r="259" spans="1:7" x14ac:dyDescent="0.15">
      <c r="A259" t="str">
        <f>HYPERLINK("./new_k5/query_cmdrels_weight_analyze/0.2_0.3_0.5/so_27943059.xlsx","so_27943059")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0.55555555555555547</v>
      </c>
      <c r="F259">
        <v>0.16666666666666671</v>
      </c>
      <c r="G259">
        <v>0.55555555555555547</v>
      </c>
    </row>
    <row r="260" spans="1:7" x14ac:dyDescent="0.15">
      <c r="A260" t="str">
        <f>HYPERLINK("./new_k5/query_cmdrels_weight_analyze/0.2_0.3_0.5/so_28869004.xlsx","so_28869004")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0.5</v>
      </c>
    </row>
    <row r="261" spans="1:7" x14ac:dyDescent="0.15">
      <c r="A261" t="str">
        <f>HYPERLINK("./new_k5/query_cmdrels_weight_analyze/0.2_0.3_0.5/so_2973624.xlsx","so_2973624")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0.55555555555555547</v>
      </c>
      <c r="F261">
        <v>0.66666666666666663</v>
      </c>
      <c r="G261">
        <v>0.80555555555555547</v>
      </c>
    </row>
    <row r="262" spans="1:7" x14ac:dyDescent="0.15">
      <c r="A262" t="str">
        <f>HYPERLINK("./new_k5/query_cmdrels_weight_analyze/0.2_0.3_0.5/so_30177455.xlsx","so_30177455")</f>
        <v>so_30177455</v>
      </c>
      <c r="B262">
        <v>0</v>
      </c>
      <c r="C262">
        <v>0</v>
      </c>
      <c r="D262">
        <v>0.16666666666666671</v>
      </c>
      <c r="E262">
        <v>0.1111111111111111</v>
      </c>
      <c r="F262">
        <v>0.16666666666666671</v>
      </c>
      <c r="G262">
        <v>0.1111111111111111</v>
      </c>
    </row>
    <row r="263" spans="1:7" x14ac:dyDescent="0.15">
      <c r="A263" t="str">
        <f>HYPERLINK("./new_k5/query_cmdrels_weight_analyze/0.2_0.3_0.5/so_30251889.xlsx","so_30251889")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0.6791666666666667</v>
      </c>
    </row>
    <row r="264" spans="1:7" x14ac:dyDescent="0.15">
      <c r="A264" t="str">
        <f>HYPERLINK("./new_k5/query_cmdrels_weight_analyze/0.2_0.3_0.5/so_305035.xlsx","so_305035")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HYPERLINK("./new_k5/query_cmdrels_weight_analyze/0.2_0.3_0.5/so_36249744.xlsx","so_36249744")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HYPERLINK("./new_k5/query_cmdrels_weight_analyze/0.2_0.3_0.5/so_3643848.xlsx","so_3643848")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HYPERLINK("./new_k5/query_cmdrels_weight_analyze/0.2_0.3_0.5/so_3667329.xlsx","so_3667329")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0.55555555555555547</v>
      </c>
      <c r="F267">
        <v>0.33333333333333331</v>
      </c>
      <c r="G267">
        <v>0.55555555555555547</v>
      </c>
    </row>
    <row r="268" spans="1:7" x14ac:dyDescent="0.15">
      <c r="A268" t="str">
        <f>HYPERLINK("./new_k5/query_cmdrels_weight_analyze/0.2_0.3_0.5/so_369758.xlsx","so_369758")</f>
        <v>so_369758</v>
      </c>
      <c r="B268">
        <v>0.2</v>
      </c>
      <c r="C268">
        <v>0.2</v>
      </c>
      <c r="D268">
        <v>0.4</v>
      </c>
      <c r="E268">
        <v>0.4</v>
      </c>
      <c r="F268">
        <v>0.4</v>
      </c>
      <c r="G268">
        <v>0.55000000000000004</v>
      </c>
    </row>
    <row r="269" spans="1:7" x14ac:dyDescent="0.15">
      <c r="A269" t="str">
        <f>HYPERLINK("./new_k5/query_cmdrels_weight_analyze/0.2_0.3_0.5/so_3756323.xlsx","so_3756323")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0.75</v>
      </c>
    </row>
    <row r="270" spans="1:7" x14ac:dyDescent="0.15">
      <c r="A270" t="str">
        <f>HYPERLINK("./new_k5/query_cmdrels_weight_analyze/0.2_0.3_0.5/so_3767267.xlsx","so_3767267")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HYPERLINK("./new_k5/query_cmdrels_weight_analyze/0.2_0.3_0.5/so_3833578.xlsx","so_3833578")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HYPERLINK("./new_k5/query_cmdrels_weight_analyze/0.2_0.3_0.5/so_3891076.xlsx","so_3891076")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0.52500000000000002</v>
      </c>
    </row>
    <row r="273" spans="1:7" x14ac:dyDescent="0.15">
      <c r="A273" t="str">
        <f>HYPERLINK("./new_k5/query_cmdrels_weight_analyze/0.2_0.3_0.5/so_3963085.xlsx","so_3963085")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HYPERLINK("./new_k5/query_cmdrels_weight_analyze/0.2_0.3_0.5/so_4325216.xlsx","so_4325216")</f>
        <v>so_4325216</v>
      </c>
      <c r="B274">
        <v>0.5</v>
      </c>
      <c r="C274">
        <v>0.5</v>
      </c>
      <c r="D274">
        <v>0.5</v>
      </c>
      <c r="E274">
        <v>1</v>
      </c>
      <c r="F274">
        <v>0.5</v>
      </c>
      <c r="G274">
        <v>1</v>
      </c>
    </row>
    <row r="275" spans="1:7" x14ac:dyDescent="0.15">
      <c r="A275" t="str">
        <f>HYPERLINK("./new_k5/query_cmdrels_weight_analyze/0.2_0.3_0.5/so_448005.xlsx","so_448005")</f>
        <v>so_448005</v>
      </c>
      <c r="B275">
        <v>1</v>
      </c>
      <c r="C275">
        <v>0</v>
      </c>
      <c r="D275">
        <v>1</v>
      </c>
      <c r="E275">
        <v>0.33333333333333331</v>
      </c>
      <c r="F275">
        <v>1</v>
      </c>
      <c r="G275">
        <v>0.33333333333333331</v>
      </c>
    </row>
    <row r="276" spans="1:7" x14ac:dyDescent="0.15">
      <c r="A276" t="str">
        <f>HYPERLINK("./new_k5/query_cmdrels_weight_analyze/0.2_0.3_0.5/so_4921879.xlsx","so_4921879")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HYPERLINK("./new_k5/query_cmdrels_weight_analyze/0.2_0.3_0.5/so_4922943.xlsx","so_4922943")</f>
        <v>so_4922943</v>
      </c>
      <c r="B277">
        <v>0.2</v>
      </c>
      <c r="C277">
        <v>0.2</v>
      </c>
      <c r="D277">
        <v>0.33333333333333331</v>
      </c>
      <c r="E277">
        <v>0.33333333333333331</v>
      </c>
      <c r="F277">
        <v>0.33333333333333331</v>
      </c>
      <c r="G277">
        <v>0.33333333333333331</v>
      </c>
    </row>
    <row r="278" spans="1:7" x14ac:dyDescent="0.15">
      <c r="A278" t="str">
        <f>HYPERLINK("./new_k5/query_cmdrels_weight_analyze/0.2_0.3_0.5/so_5119946.xlsx","so_5119946")</f>
        <v>so_5119946</v>
      </c>
      <c r="B278">
        <v>0.5</v>
      </c>
      <c r="C278">
        <v>0</v>
      </c>
      <c r="D278">
        <v>0.5</v>
      </c>
      <c r="E278">
        <v>0.58333333333333326</v>
      </c>
      <c r="F278">
        <v>0.5</v>
      </c>
      <c r="G278">
        <v>0.58333333333333326</v>
      </c>
    </row>
    <row r="279" spans="1:7" x14ac:dyDescent="0.15">
      <c r="A279" t="str">
        <f>HYPERLINK("./new_k5/query_cmdrels_weight_analyze/0.2_0.3_0.5/so_5164985.xlsx","so_5164985")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HYPERLINK("./new_k5/query_cmdrels_weight_analyze/0.2_0.3_0.5/so_5306153.xlsx","so_5306153")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HYPERLINK("./new_k5/query_cmdrels_weight_analyze/0.2_0.3_0.5/so_5566310.xlsx","so_5566310")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HYPERLINK("./new_k5/query_cmdrels_weight_analyze/0.2_0.3_0.5/so_5927369.xlsx","so_5927369")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HYPERLINK("./new_k5/query_cmdrels_weight_analyze/0.2_0.3_0.5/so_5947742.xlsx","so_5947742")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HYPERLINK("./new_k5/query_cmdrels_weight_analyze/0.2_0.3_0.5/so_614795.xlsx","so_614795")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HYPERLINK("./new_k5/query_cmdrels_weight_analyze/0.2_0.3_0.5/so_6207573.xlsx","so_6207573")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0.2857142857142857</v>
      </c>
      <c r="F285">
        <v>0.37142857142857139</v>
      </c>
      <c r="G285">
        <v>0.39285714285714279</v>
      </c>
    </row>
    <row r="286" spans="1:7" x14ac:dyDescent="0.15">
      <c r="A286" t="str">
        <f>HYPERLINK("./new_k5/query_cmdrels_weight_analyze/0.2_0.3_0.5/so_6283167.xlsx","so_6283167")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HYPERLINK("./new_k5/query_cmdrels_weight_analyze/0.2_0.3_0.5/so_6329505.xlsx","so_6329505")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HYPERLINK("./new_k5/query_cmdrels_weight_analyze/0.2_0.3_0.5/so_6423532.xlsx","so_6423532")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HYPERLINK("./new_k5/query_cmdrels_weight_analyze/0.2_0.3_0.5/so_669438.xlsx","so_669438")</f>
        <v>so_669438</v>
      </c>
      <c r="B289">
        <v>0.2</v>
      </c>
      <c r="C289">
        <v>0.2</v>
      </c>
      <c r="D289">
        <v>0.6</v>
      </c>
      <c r="E289">
        <v>0.2</v>
      </c>
      <c r="F289">
        <v>0.6</v>
      </c>
      <c r="G289">
        <v>0.42</v>
      </c>
    </row>
    <row r="290" spans="1:7" x14ac:dyDescent="0.15">
      <c r="A290" t="str">
        <f>HYPERLINK("./new_k5/query_cmdrels_weight_analyze/0.2_0.3_0.5/so_7052875.xlsx","so_7052875")</f>
        <v>so_7052875</v>
      </c>
      <c r="B290">
        <v>0.2</v>
      </c>
      <c r="C290">
        <v>0.2</v>
      </c>
      <c r="D290">
        <v>0.2</v>
      </c>
      <c r="E290">
        <v>0.2</v>
      </c>
      <c r="F290">
        <v>0.2</v>
      </c>
      <c r="G290">
        <v>0.3</v>
      </c>
    </row>
    <row r="291" spans="1:7" x14ac:dyDescent="0.15">
      <c r="A291" t="str">
        <f>HYPERLINK("./new_k5/query_cmdrels_weight_analyze/0.2_0.3_0.5/so_7221757.xlsx","so_7221757")</f>
        <v>so_7221757</v>
      </c>
      <c r="B291">
        <v>0.2</v>
      </c>
      <c r="C291">
        <v>0.2</v>
      </c>
      <c r="D291">
        <v>0.2</v>
      </c>
      <c r="E291">
        <v>0.2</v>
      </c>
      <c r="F291">
        <v>0.2</v>
      </c>
      <c r="G291">
        <v>0.2</v>
      </c>
    </row>
    <row r="292" spans="1:7" x14ac:dyDescent="0.15">
      <c r="A292" t="str">
        <f>HYPERLINK("./new_k5/query_cmdrels_weight_analyze/0.2_0.3_0.5/so_750604.xlsx","so_750604")</f>
        <v>so_750604</v>
      </c>
      <c r="B292">
        <v>0</v>
      </c>
      <c r="C292">
        <v>0</v>
      </c>
      <c r="D292">
        <v>0.1111111111111111</v>
      </c>
      <c r="E292">
        <v>0.16666666666666671</v>
      </c>
      <c r="F292">
        <v>0.1111111111111111</v>
      </c>
      <c r="G292">
        <v>0.33333333333333331</v>
      </c>
    </row>
    <row r="293" spans="1:7" x14ac:dyDescent="0.15">
      <c r="A293" t="str">
        <f>HYPERLINK("./new_k5/query_cmdrels_weight_analyze/0.2_0.3_0.5/so_7575267.xlsx","so_7575267")</f>
        <v>so_7575267</v>
      </c>
      <c r="B293">
        <v>0</v>
      </c>
      <c r="C293">
        <v>0.25</v>
      </c>
      <c r="D293">
        <v>0</v>
      </c>
      <c r="E293">
        <v>0.75</v>
      </c>
      <c r="F293">
        <v>0</v>
      </c>
      <c r="G293">
        <v>0.75</v>
      </c>
    </row>
    <row r="294" spans="1:7" x14ac:dyDescent="0.15">
      <c r="A294" t="str">
        <f>HYPERLINK("./new_k5/query_cmdrels_weight_analyze/0.2_0.3_0.5/so_7698488.xlsx","so_7698488")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0.16250000000000001</v>
      </c>
    </row>
    <row r="295" spans="1:7" x14ac:dyDescent="0.15">
      <c r="A295" t="str">
        <f>HYPERLINK("./new_k5/query_cmdrels_weight_analyze/0.2_0.3_0.5/so_801095.xlsx","so_801095")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0.55555555555555547</v>
      </c>
      <c r="F295">
        <v>0.33333333333333331</v>
      </c>
      <c r="G295">
        <v>0.55555555555555547</v>
      </c>
    </row>
    <row r="296" spans="1:7" x14ac:dyDescent="0.15">
      <c r="A296" t="str">
        <f>HYPERLINK("./new_k5/query_cmdrels_weight_analyze/0.2_0.3_0.5/so_8249705.xlsx","so_8249705")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HYPERLINK("./new_k5/query_cmdrels_weight_analyze/0.2_0.3_0.5/so_8423541.xlsx","so_8423541")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HYPERLINK("./new_k5/query_cmdrels_weight_analyze/0.2_0.3_0.5/so_8654051.xlsx","so_8654051")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HYPERLINK("./new_k5/query_cmdrels_weight_analyze/0.2_0.3_0.5/so_890262.xlsx","so_890262")</f>
        <v>so_890262</v>
      </c>
      <c r="B299">
        <v>0</v>
      </c>
      <c r="C299">
        <v>0</v>
      </c>
      <c r="D299">
        <v>0</v>
      </c>
      <c r="E299">
        <v>0.38888888888888878</v>
      </c>
      <c r="F299">
        <v>0</v>
      </c>
      <c r="G299">
        <v>0.38888888888888878</v>
      </c>
    </row>
    <row r="300" spans="1:7" x14ac:dyDescent="0.15">
      <c r="A300" t="str">
        <f>HYPERLINK("./new_k5/query_cmdrels_weight_analyze/0.2_0.3_0.5/so_893585.xlsx","so_893585")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HYPERLINK("./new_k5/query_cmdrels_weight_analyze/0.2_0.3_0.5/so_9223460.xlsx","so_9223460")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HYPERLINK("./new_k5/query_cmdrels_weight_analyze/0.2_0.3_0.5/so_9245638.xlsx","so_9245638")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0.55555555555555547</v>
      </c>
      <c r="F302">
        <v>0.55555555555555547</v>
      </c>
      <c r="G302">
        <v>0.55555555555555547</v>
      </c>
    </row>
    <row r="303" spans="1:7" x14ac:dyDescent="0.15">
      <c r="A303" t="str">
        <f>HYPERLINK("./new_k5/query_cmdrels_weight_analyze/0.2_0.3_0.5/so_9304953.xlsx","so_9304953")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HYPERLINK("./new_k5/query_cmdrels_weight_analyze/0.2_0.3_0.5/so_9361816.xlsx","so_9361816")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HYPERLINK("./new_k5/query_cmdrels_weight_analyze/0.2_0.3_0.5/su_116617.xlsx","su_116617")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HYPERLINK("./new_k5/query_cmdrels_weight_analyze/0.2_0.3_0.5/su_120045.xlsx","su_120045")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HYPERLINK("./new_k5/query_cmdrels_weight_analyze/0.2_0.3_0.5/su_127863.xlsx","su_127863")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HYPERLINK("./new_k5/query_cmdrels_weight_analyze/0.2_0.3_0.5/su_135498.xlsx","su_135498")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HYPERLINK("./new_k5/query_cmdrels_weight_analyze/0.2_0.3_0.5/su_147027.xlsx","su_147027")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HYPERLINK("./new_k5/query_cmdrels_weight_analyze/0.2_0.3_0.5/su_151911.xlsx","su_151911")</f>
        <v>su_151911</v>
      </c>
      <c r="B310">
        <v>0</v>
      </c>
      <c r="C310">
        <v>0</v>
      </c>
      <c r="D310">
        <v>0</v>
      </c>
      <c r="E310">
        <v>8.3333333333333329E-2</v>
      </c>
      <c r="F310">
        <v>0</v>
      </c>
      <c r="G310">
        <v>8.3333333333333329E-2</v>
      </c>
    </row>
    <row r="311" spans="1:7" x14ac:dyDescent="0.15">
      <c r="A311" t="str">
        <f>HYPERLINK("./new_k5/query_cmdrels_weight_analyze/0.2_0.3_0.5/su_153415.xlsx","su_153415")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HYPERLINK("./new_k5/query_cmdrels_weight_analyze/0.2_0.3_0.5/su_156189.xlsx","su_156189")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0.37777777777777782</v>
      </c>
    </row>
    <row r="313" spans="1:7" x14ac:dyDescent="0.15">
      <c r="A313" t="str">
        <f>HYPERLINK("./new_k5/query_cmdrels_weight_analyze/0.2_0.3_0.5/su_161531.xlsx","su_161531")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HYPERLINK("./new_k5/query_cmdrels_weight_analyze/0.2_0.3_0.5/su_204209.xlsx","su_204209")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HYPERLINK("./new_k5/query_cmdrels_weight_analyze/0.2_0.3_0.5/su_214390.xlsx","su_214390")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HYPERLINK("./new_k5/query_cmdrels_weight_analyze/0.2_0.3_0.5/su_215483.xlsx","su_215483")</f>
        <v>su_215483</v>
      </c>
      <c r="B316">
        <v>0.5</v>
      </c>
      <c r="C316">
        <v>0.5</v>
      </c>
      <c r="D316">
        <v>1</v>
      </c>
      <c r="E316">
        <v>0.83333333333333326</v>
      </c>
      <c r="F316">
        <v>1</v>
      </c>
      <c r="G316">
        <v>0.83333333333333326</v>
      </c>
    </row>
    <row r="317" spans="1:7" x14ac:dyDescent="0.15">
      <c r="A317" t="str">
        <f>HYPERLINK("./new_k5/query_cmdrels_weight_analyze/0.2_0.3_0.5/su_215504.xlsx","su_215504")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0.47916666666666657</v>
      </c>
    </row>
    <row r="318" spans="1:7" x14ac:dyDescent="0.15">
      <c r="A318" t="str">
        <f>HYPERLINK("./new_k5/query_cmdrels_weight_analyze/0.2_0.3_0.5/su_227385.xlsx","su_227385")</f>
        <v>su_227385</v>
      </c>
      <c r="B318">
        <v>0</v>
      </c>
      <c r="C318">
        <v>0</v>
      </c>
      <c r="D318">
        <v>0</v>
      </c>
      <c r="E318">
        <v>0.125</v>
      </c>
      <c r="F318">
        <v>0</v>
      </c>
      <c r="G318">
        <v>0.25</v>
      </c>
    </row>
    <row r="319" spans="1:7" x14ac:dyDescent="0.15">
      <c r="A319" t="str">
        <f>HYPERLINK("./new_k5/query_cmdrels_weight_analyze/0.2_0.3_0.5/su_273254.xlsx","su_273254")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HYPERLINK("./new_k5/query_cmdrels_weight_analyze/0.2_0.3_0.5/su_294161.xlsx","su_294161")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HYPERLINK("./new_k5/query_cmdrels_weight_analyze/0.2_0.3_0.5/su_302396.xlsx","su_302396")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HYPERLINK("./new_k5/query_cmdrels_weight_analyze/0.2_0.3_0.5/su_303981.xlsx","su_303981")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HYPERLINK("./new_k5/query_cmdrels_weight_analyze/0.2_0.3_0.5/su_305128.xlsx","su_305128")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HYPERLINK("./new_k5/query_cmdrels_weight_analyze/0.2_0.3_0.5/su_31512.xlsx","su_31512")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HYPERLINK("./new_k5/query_cmdrels_weight_analyze/0.2_0.3_0.5/su_380520.xlsx","su_380520")</f>
        <v>su_380520</v>
      </c>
      <c r="B325">
        <v>0.33333333333333331</v>
      </c>
      <c r="C325">
        <v>0.33333333333333331</v>
      </c>
      <c r="D325">
        <v>0.33333333333333331</v>
      </c>
      <c r="E325">
        <v>0.55555555555555547</v>
      </c>
      <c r="F325">
        <v>0.33333333333333331</v>
      </c>
      <c r="G325">
        <v>0.55555555555555547</v>
      </c>
    </row>
    <row r="326" spans="1:7" x14ac:dyDescent="0.15">
      <c r="A326" t="str">
        <f>HYPERLINK("./new_k5/query_cmdrels_weight_analyze/0.2_0.3_0.5/su_38981.xlsx","su_38981")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HYPERLINK("./new_k5/query_cmdrels_weight_analyze/0.2_0.3_0.5/su_437330.xlsx","su_437330")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HYPERLINK("./new_k5/query_cmdrels_weight_analyze/0.2_0.3_0.5/su_441379.xlsx","su_441379")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HYPERLINK("./new_k5/query_cmdrels_weight_analyze/0.2_0.3_0.5/su_462788.xlsx","su_462788")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0.22222222222222221</v>
      </c>
      <c r="F329">
        <v>0.30555555555555558</v>
      </c>
      <c r="G329">
        <v>0.39444444444444438</v>
      </c>
    </row>
    <row r="330" spans="1:7" x14ac:dyDescent="0.15">
      <c r="A330" t="str">
        <f>HYPERLINK("./new_k5/query_cmdrels_weight_analyze/0.2_0.3_0.5/su_626606.xlsx","su_626606")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0.83333333333333337</v>
      </c>
    </row>
    <row r="331" spans="1:7" x14ac:dyDescent="0.15">
      <c r="A331" t="str">
        <f>HYPERLINK("./new_k5/query_cmdrels_weight_analyze/0.2_0.3_0.5/su_634469.xlsx","su_634469")</f>
        <v>su_634469</v>
      </c>
      <c r="B331">
        <v>0</v>
      </c>
      <c r="C331">
        <v>0.16666666666666671</v>
      </c>
      <c r="D331">
        <v>0</v>
      </c>
      <c r="E331">
        <v>0.16666666666666671</v>
      </c>
      <c r="F331">
        <v>0</v>
      </c>
      <c r="G331">
        <v>0.23333333333333331</v>
      </c>
    </row>
    <row r="332" spans="1:7" x14ac:dyDescent="0.15">
      <c r="A332" t="str">
        <f>HYPERLINK("./new_k5/query_cmdrels_weight_analyze/0.2_0.3_0.5/su_638616.xlsx","su_638616")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HYPERLINK("./new_k5/query_cmdrels_weight_analyze/0.2_0.3_0.5/su_678113.xlsx","su_678113")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HYPERLINK("./new_k5/query_cmdrels_weight_analyze/0.2_0.3_0.5/su_686394.xlsx","su_686394")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HYPERLINK("./new_k5/query_cmdrels_weight_analyze/0.2_0.3_0.5/su_716795.xlsx","su_716795")</f>
        <v>su_716795</v>
      </c>
      <c r="B335">
        <v>0.5</v>
      </c>
      <c r="C335">
        <v>0</v>
      </c>
      <c r="D335">
        <v>0.83333333333333326</v>
      </c>
      <c r="E335">
        <v>0.16666666666666671</v>
      </c>
      <c r="F335">
        <v>0.83333333333333326</v>
      </c>
      <c r="G335">
        <v>0.16666666666666671</v>
      </c>
    </row>
    <row r="336" spans="1:7" x14ac:dyDescent="0.15">
      <c r="A336" t="str">
        <f>HYPERLINK("./new_k5/query_cmdrels_weight_analyze/0.2_0.3_0.5/su_758463.xlsx","su_758463")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HYPERLINK("./new_k5/query_cmdrels_weight_analyze/0.2_0.3_0.5/su_766437.xlsx","su_766437")</f>
        <v>su_766437</v>
      </c>
      <c r="B337">
        <v>0</v>
      </c>
      <c r="C337">
        <v>0</v>
      </c>
      <c r="D337">
        <v>0</v>
      </c>
      <c r="E337">
        <v>6.6666666666666666E-2</v>
      </c>
      <c r="F337">
        <v>0.05</v>
      </c>
      <c r="G337">
        <v>0.28666666666666663</v>
      </c>
    </row>
    <row r="338" spans="1:7" x14ac:dyDescent="0.15">
      <c r="A338" t="str">
        <f>HYPERLINK("./new_k5/query_cmdrels_weight_analyze/0.2_0.3_0.5/su_904001.xlsx","su_904001")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HYPERLINK("./new_k5/query_cmdrels_weight_analyze/0.2_0.3_0.5/ul_100959.xlsx","ul_100959")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HYPERLINK("./new_k5/query_cmdrels_weight_analyze/0.2_0.3_0.5/ul_101073.xlsx","ul_101073")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HYPERLINK("./new_k5/query_cmdrels_weight_analyze/0.2_0.3_0.5/ul_101237.xlsx","ul_101237")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HYPERLINK("./new_k5/query_cmdrels_weight_analyze/0.2_0.3_0.5/ul_102752.xlsx","ul_102752")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HYPERLINK("./new_k5/query_cmdrels_weight_analyze/0.2_0.3_0.5/ul_108174.xlsx","ul_108174")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HYPERLINK("./new_k5/query_cmdrels_weight_analyze/0.2_0.3_0.5/ul_109536.xlsx","ul_109536")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HYPERLINK("./new_k5/query_cmdrels_weight_analyze/0.2_0.3_0.5/ul_112050.xlsx","ul_112050")</f>
        <v>ul_112050</v>
      </c>
      <c r="B345">
        <v>0</v>
      </c>
      <c r="C345">
        <v>0.25</v>
      </c>
      <c r="D345">
        <v>0.125</v>
      </c>
      <c r="E345">
        <v>0.75</v>
      </c>
      <c r="F345">
        <v>0.125</v>
      </c>
      <c r="G345">
        <v>0.75</v>
      </c>
    </row>
    <row r="346" spans="1:7" x14ac:dyDescent="0.15">
      <c r="A346" t="str">
        <f>HYPERLINK("./new_k5/query_cmdrels_weight_analyze/0.2_0.3_0.5/ul_116070.xlsx","ul_116070")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HYPERLINK("./new_k5/query_cmdrels_weight_analyze/0.2_0.3_0.5/ul_11851.xlsx","ul_11851")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HYPERLINK("./new_k5/query_cmdrels_weight_analyze/0.2_0.3_0.5/ul_119126.xlsx","ul_119126")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HYPERLINK("./new_k5/query_cmdrels_weight_analyze/0.2_0.3_0.5/ul_121718.xlsx","ul_121718")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HYPERLINK("./new_k5/query_cmdrels_weight_analyze/0.2_0.3_0.5/ul_12227.xlsx","ul_12227")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HYPERLINK("./new_k5/query_cmdrels_weight_analyze/0.2_0.3_0.5/ul_12453.xlsx","ul_12453")</f>
        <v>ul_12453</v>
      </c>
      <c r="B351">
        <v>0</v>
      </c>
      <c r="C351">
        <v>0.25</v>
      </c>
      <c r="D351">
        <v>0.125</v>
      </c>
      <c r="E351">
        <v>0.41666666666666657</v>
      </c>
      <c r="F351">
        <v>0.125</v>
      </c>
      <c r="G351">
        <v>0.60416666666666663</v>
      </c>
    </row>
    <row r="352" spans="1:7" x14ac:dyDescent="0.15">
      <c r="A352" t="str">
        <f>HYPERLINK("./new_k5/query_cmdrels_weight_analyze/0.2_0.3_0.5/ul_12535.xlsx","ul_12535")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0.16666666666666671</v>
      </c>
    </row>
    <row r="353" spans="1:7" x14ac:dyDescent="0.15">
      <c r="A353" t="str">
        <f>HYPERLINK("./new_k5/query_cmdrels_weight_analyze/0.2_0.3_0.5/ul_127066.xlsx","ul_127066")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0.60416666666666663</v>
      </c>
    </row>
    <row r="354" spans="1:7" x14ac:dyDescent="0.15">
      <c r="A354" t="str">
        <f>HYPERLINK("./new_k5/query_cmdrels_weight_analyze/0.2_0.3_0.5/ul_128953.xlsx","ul_128953")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HYPERLINK("./new_k5/query_cmdrels_weight_analyze/0.2_0.3_0.5/ul_134829.xlsx","ul_134829")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0.6333333333333333</v>
      </c>
    </row>
    <row r="356" spans="1:7" x14ac:dyDescent="0.15">
      <c r="A356" t="str">
        <f>HYPERLINK("./new_k5/query_cmdrels_weight_analyze/0.2_0.3_0.5/ul_136371.xlsx","ul_136371")</f>
        <v>ul_136371</v>
      </c>
      <c r="B356">
        <v>0</v>
      </c>
      <c r="C356">
        <v>0.33333333333333331</v>
      </c>
      <c r="D356">
        <v>0</v>
      </c>
      <c r="E356">
        <v>0.33333333333333331</v>
      </c>
      <c r="F356">
        <v>0</v>
      </c>
      <c r="G356">
        <v>0.5</v>
      </c>
    </row>
    <row r="357" spans="1:7" x14ac:dyDescent="0.15">
      <c r="A357" t="str">
        <f>HYPERLINK("./new_k5/query_cmdrels_weight_analyze/0.2_0.3_0.5/ul_136884.xlsx","ul_136884")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HYPERLINK("./new_k5/query_cmdrels_weight_analyze/0.2_0.3_0.5/ul_138398.xlsx","ul_138398")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HYPERLINK("./new_k5/query_cmdrels_weight_analyze/0.2_0.3_0.5/ul_139271.xlsx","ul_139271")</f>
        <v>ul_139271</v>
      </c>
      <c r="B359">
        <v>0.16666666666666671</v>
      </c>
      <c r="C359">
        <v>0</v>
      </c>
      <c r="D359">
        <v>0.33333333333333331</v>
      </c>
      <c r="E359">
        <v>0.19444444444444439</v>
      </c>
      <c r="F359">
        <v>0.33333333333333331</v>
      </c>
      <c r="G359">
        <v>0.29444444444444451</v>
      </c>
    </row>
    <row r="360" spans="1:7" x14ac:dyDescent="0.15">
      <c r="A360" t="str">
        <f>HYPERLINK("./new_k5/query_cmdrels_weight_analyze/0.2_0.3_0.5/ul_140482.xlsx","ul_140482")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HYPERLINK("./new_k5/query_cmdrels_weight_analyze/0.2_0.3_0.5/ul_14191.xlsx","ul_14191")</f>
        <v>ul_14191</v>
      </c>
      <c r="B361">
        <v>0.33333333333333331</v>
      </c>
      <c r="C361">
        <v>0</v>
      </c>
      <c r="D361">
        <v>0.55555555555555547</v>
      </c>
      <c r="E361">
        <v>0</v>
      </c>
      <c r="F361">
        <v>0.55555555555555547</v>
      </c>
      <c r="G361">
        <v>8.3333333333333329E-2</v>
      </c>
    </row>
    <row r="362" spans="1:7" x14ac:dyDescent="0.15">
      <c r="A362" t="str">
        <f>HYPERLINK("./new_k5/query_cmdrels_weight_analyze/0.2_0.3_0.5/ul_145929.xlsx","ul_145929")</f>
        <v>ul_145929</v>
      </c>
      <c r="B362">
        <v>0</v>
      </c>
      <c r="C362">
        <v>0</v>
      </c>
      <c r="D362">
        <v>0.16666666666666671</v>
      </c>
      <c r="E362">
        <v>0.16666666666666671</v>
      </c>
      <c r="F362">
        <v>0.16666666666666671</v>
      </c>
      <c r="G362">
        <v>0.3666666666666667</v>
      </c>
    </row>
    <row r="363" spans="1:7" x14ac:dyDescent="0.15">
      <c r="A363" t="str">
        <f>HYPERLINK("./new_k5/query_cmdrels_weight_analyze/0.2_0.3_0.5/ul_148985.xlsx","ul_148985")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HYPERLINK("./new_k5/query_cmdrels_weight_analyze/0.2_0.3_0.5/ul_15405.xlsx","ul_15405")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HYPERLINK("./new_k5/query_cmdrels_weight_analyze/0.2_0.3_0.5/ul_155551.xlsx","ul_155551")</f>
        <v>ul_155551</v>
      </c>
      <c r="B365">
        <v>0</v>
      </c>
      <c r="C365">
        <v>0.5</v>
      </c>
      <c r="D365">
        <v>0</v>
      </c>
      <c r="E365">
        <v>0.5</v>
      </c>
      <c r="F365">
        <v>0</v>
      </c>
      <c r="G365">
        <v>0.75</v>
      </c>
    </row>
    <row r="366" spans="1:7" x14ac:dyDescent="0.15">
      <c r="A366" t="str">
        <f>HYPERLINK("./new_k5/query_cmdrels_weight_analyze/0.2_0.3_0.5/ul_159672.xlsx","ul_159672")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HYPERLINK("./new_k5/query_cmdrels_weight_analyze/0.2_0.3_0.5/ul_163845.xlsx","ul_163845")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HYPERLINK("./new_k5/query_cmdrels_weight_analyze/0.2_0.3_0.5/ul_16407.xlsx","ul_16407")</f>
        <v>ul_16407</v>
      </c>
      <c r="B368">
        <v>0.5</v>
      </c>
      <c r="C368">
        <v>0.5</v>
      </c>
      <c r="D368">
        <v>0.5</v>
      </c>
      <c r="E368">
        <v>0.5</v>
      </c>
      <c r="F368">
        <v>0.75</v>
      </c>
      <c r="G368">
        <v>0.5</v>
      </c>
    </row>
    <row r="369" spans="1:7" x14ac:dyDescent="0.15">
      <c r="A369" t="str">
        <f>HYPERLINK("./new_k5/query_cmdrels_weight_analyze/0.2_0.3_0.5/ul_166558.xlsx","ul_166558")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HYPERLINK("./new_k5/query_cmdrels_weight_analyze/0.2_0.3_0.5/ul_171314.xlsx","ul_171314")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0.27777777777777768</v>
      </c>
      <c r="F370">
        <v>0.16666666666666671</v>
      </c>
      <c r="G370">
        <v>0.37777777777777782</v>
      </c>
    </row>
    <row r="371" spans="1:7" x14ac:dyDescent="0.15">
      <c r="A371" t="str">
        <f>HYPERLINK("./new_k5/query_cmdrels_weight_analyze/0.2_0.3_0.5/ul_182032.xlsx","ul_182032")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HYPERLINK("./new_k5/query_cmdrels_weight_analyze/0.2_0.3_0.5/ul_19344.xlsx","ul_19344")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HYPERLINK("./new_k5/query_cmdrels_weight_analyze/0.2_0.3_0.5/ul_19369.xlsx","ul_19369")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HYPERLINK("./new_k5/query_cmdrels_weight_analyze/0.2_0.3_0.5/ul_19485.xlsx","ul_19485")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HYPERLINK("./new_k5/query_cmdrels_weight_analyze/0.2_0.3_0.5/ul_20370.xlsx","ul_20370")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0.125</v>
      </c>
    </row>
    <row r="376" spans="1:7" x14ac:dyDescent="0.15">
      <c r="A376" t="str">
        <f>HYPERLINK("./new_k5/query_cmdrels_weight_analyze/0.2_0.3_0.5/ul_211817.xlsx","ul_211817")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HYPERLINK("./new_k5/query_cmdrels_weight_analyze/0.2_0.3_0.5/ul_212925.xlsx","ul_212925")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HYPERLINK("./new_k5/query_cmdrels_weight_analyze/0.2_0.3_0.5/ul_21471.xlsx","ul_21471")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HYPERLINK("./new_k5/query_cmdrels_weight_analyze/0.2_0.3_0.5/ul_22545.xlsx","ul_22545")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HYPERLINK("./new_k5/query_cmdrels_weight_analyze/0.2_0.3_0.5/ul_230481.xlsx","ul_230481")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HYPERLINK("./new_k5/query_cmdrels_weight_analyze/0.2_0.3_0.5/ul_230673.xlsx","ul_230673")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0.5</v>
      </c>
    </row>
    <row r="382" spans="1:7" x14ac:dyDescent="0.15">
      <c r="A382" t="str">
        <f>HYPERLINK("./new_k5/query_cmdrels_weight_analyze/0.2_0.3_0.5/ul_230800.xlsx","ul_230800")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HYPERLINK("./new_k5/query_cmdrels_weight_analyze/0.2_0.3_0.5/ul_232384.xlsx","ul_232384")</f>
        <v>ul_232384</v>
      </c>
      <c r="B383">
        <v>0</v>
      </c>
      <c r="C383">
        <v>0.5</v>
      </c>
      <c r="D383">
        <v>0</v>
      </c>
      <c r="E383">
        <v>0.83333333333333326</v>
      </c>
      <c r="F383">
        <v>0</v>
      </c>
      <c r="G383">
        <v>0.83333333333333326</v>
      </c>
    </row>
    <row r="384" spans="1:7" x14ac:dyDescent="0.15">
      <c r="A384" t="str">
        <f>HYPERLINK("./new_k5/query_cmdrels_weight_analyze/0.2_0.3_0.5/ul_24441.xlsx","ul_24441")</f>
        <v>ul_24441</v>
      </c>
      <c r="B384">
        <v>0</v>
      </c>
      <c r="C384">
        <v>0</v>
      </c>
      <c r="D384">
        <v>0</v>
      </c>
      <c r="E384">
        <v>0.25</v>
      </c>
      <c r="F384">
        <v>0</v>
      </c>
      <c r="G384">
        <v>0.25</v>
      </c>
    </row>
    <row r="385" spans="1:7" x14ac:dyDescent="0.15">
      <c r="A385" t="str">
        <f>HYPERLINK("./new_k5/query_cmdrels_weight_analyze/0.2_0.3_0.5/ul_246535.xlsx","ul_246535")</f>
        <v>ul_246535</v>
      </c>
      <c r="B385">
        <v>0.2</v>
      </c>
      <c r="C385">
        <v>0.2</v>
      </c>
      <c r="D385">
        <v>0.2</v>
      </c>
      <c r="E385">
        <v>0.2</v>
      </c>
      <c r="F385">
        <v>0.2</v>
      </c>
      <c r="G385">
        <v>0.42</v>
      </c>
    </row>
    <row r="386" spans="1:7" x14ac:dyDescent="0.15">
      <c r="A386" t="str">
        <f>HYPERLINK("./new_k5/query_cmdrels_weight_analyze/0.2_0.3_0.5/ul_259791.xlsx","ul_259791")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HYPERLINK("./new_k5/query_cmdrels_weight_analyze/0.2_0.3_0.5/ul_273971.xlsx","ul_273971")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0.16666666666666671</v>
      </c>
      <c r="F387">
        <v>0.43333333333333329</v>
      </c>
      <c r="G387">
        <v>0.25</v>
      </c>
    </row>
    <row r="388" spans="1:7" x14ac:dyDescent="0.15">
      <c r="A388" t="str">
        <f>HYPERLINK("./new_k5/query_cmdrels_weight_analyze/0.2_0.3_0.5/ul_28553.xlsx","ul_28553")</f>
        <v>ul_28553</v>
      </c>
      <c r="B388">
        <v>0.25</v>
      </c>
      <c r="C388">
        <v>0</v>
      </c>
      <c r="D388">
        <v>0.5</v>
      </c>
      <c r="E388">
        <v>8.3333333333333329E-2</v>
      </c>
      <c r="F388">
        <v>0.5</v>
      </c>
      <c r="G388">
        <v>8.3333333333333329E-2</v>
      </c>
    </row>
    <row r="389" spans="1:7" x14ac:dyDescent="0.15">
      <c r="A389" t="str">
        <f>HYPERLINK("./new_k5/query_cmdrels_weight_analyze/0.2_0.3_0.5/ul_288521.xlsx","ul_288521")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HYPERLINK("./new_k5/query_cmdrels_weight_analyze/0.2_0.3_0.5/ul_32290.xlsx","ul_32290")</f>
        <v>ul_32290</v>
      </c>
      <c r="B390">
        <v>0</v>
      </c>
      <c r="C390">
        <v>0</v>
      </c>
      <c r="D390">
        <v>0</v>
      </c>
      <c r="E390">
        <v>0.125</v>
      </c>
      <c r="F390">
        <v>0</v>
      </c>
      <c r="G390">
        <v>0.125</v>
      </c>
    </row>
    <row r="391" spans="1:7" x14ac:dyDescent="0.15">
      <c r="A391" t="str">
        <f>HYPERLINK("./new_k5/query_cmdrels_weight_analyze/0.2_0.3_0.5/ul_328882.xlsx","ul_328882")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HYPERLINK("./new_k5/query_cmdrels_weight_analyze/0.2_0.3_0.5/ul_35131.xlsx","ul_35131")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0.8666666666666667</v>
      </c>
    </row>
    <row r="393" spans="1:7" x14ac:dyDescent="0.15">
      <c r="A393" t="str">
        <f>HYPERLINK("./new_k5/query_cmdrels_weight_analyze/0.2_0.3_0.5/ul_35333.xlsx","ul_35333")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HYPERLINK("./new_k5/query_cmdrels_weight_analyze/0.2_0.3_0.5/ul_35711.xlsx","ul_35711")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HYPERLINK("./new_k5/query_cmdrels_weight_analyze/0.2_0.3_0.5/ul_3575.xlsx","ul_3575")</f>
        <v>ul_3575</v>
      </c>
      <c r="B395">
        <v>0</v>
      </c>
      <c r="C395">
        <v>0.16666666666666671</v>
      </c>
      <c r="D395">
        <v>8.3333333333333329E-2</v>
      </c>
      <c r="E395">
        <v>0.16666666666666671</v>
      </c>
      <c r="F395">
        <v>8.3333333333333329E-2</v>
      </c>
      <c r="G395">
        <v>0.16666666666666671</v>
      </c>
    </row>
    <row r="396" spans="1:7" x14ac:dyDescent="0.15">
      <c r="A396" t="str">
        <f>HYPERLINK("./new_k5/query_cmdrels_weight_analyze/0.2_0.3_0.5/ul_35832.xlsx","ul_35832")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HYPERLINK("./new_k5/query_cmdrels_weight_analyze/0.2_0.3_0.5/ul_370318.xlsx","ul_370318")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0.42857142857142849</v>
      </c>
      <c r="F397">
        <v>0.14285714285714279</v>
      </c>
      <c r="G397">
        <v>0.42857142857142849</v>
      </c>
    </row>
    <row r="398" spans="1:7" x14ac:dyDescent="0.15">
      <c r="A398" t="str">
        <f>HYPERLINK("./new_k5/query_cmdrels_weight_analyze/0.2_0.3_0.5/ul_37329.xlsx","ul_37329")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0.66666666666666663</v>
      </c>
      <c r="F398">
        <v>0.33333333333333331</v>
      </c>
      <c r="G398">
        <v>0.66666666666666663</v>
      </c>
    </row>
    <row r="399" spans="1:7" x14ac:dyDescent="0.15">
      <c r="A399" t="str">
        <f>HYPERLINK("./new_k5/query_cmdrels_weight_analyze/0.2_0.3_0.5/ul_38209.xlsx","ul_38209")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HYPERLINK("./new_k5/query_cmdrels_weight_analyze/0.2_0.3_0.5/ul_41246.xlsx","ul_41246")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HYPERLINK("./new_k5/query_cmdrels_weight_analyze/0.2_0.3_0.5/ul_41362.xlsx","ul_41362")</f>
        <v>ul_41362</v>
      </c>
      <c r="B401">
        <v>0</v>
      </c>
      <c r="C401">
        <v>0</v>
      </c>
      <c r="D401">
        <v>0</v>
      </c>
      <c r="E401">
        <v>8.3333333333333329E-2</v>
      </c>
      <c r="F401">
        <v>0</v>
      </c>
      <c r="G401">
        <v>8.3333333333333329E-2</v>
      </c>
    </row>
    <row r="402" spans="1:7" x14ac:dyDescent="0.15">
      <c r="A402" t="str">
        <f>HYPERLINK("./new_k5/query_cmdrels_weight_analyze/0.2_0.3_0.5/ul_48200.xlsx","ul_48200")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HYPERLINK("./new_k5/query_cmdrels_weight_analyze/0.2_0.3_0.5/ul_50098.xlsx","ul_50098")</f>
        <v>ul_50098</v>
      </c>
      <c r="B403">
        <v>0</v>
      </c>
      <c r="C403">
        <v>0.1</v>
      </c>
      <c r="D403">
        <v>0.1166666666666667</v>
      </c>
      <c r="E403">
        <v>0.16666666666666671</v>
      </c>
      <c r="F403">
        <v>0.1166666666666667</v>
      </c>
      <c r="G403">
        <v>0.24166666666666661</v>
      </c>
    </row>
    <row r="404" spans="1:7" x14ac:dyDescent="0.15">
      <c r="A404" t="str">
        <f>HYPERLINK("./new_k5/query_cmdrels_weight_analyze/0.2_0.3_0.5/ul_50785.xlsx","ul_50785")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HYPERLINK("./new_k5/query_cmdrels_weight_analyze/0.2_0.3_0.5/ul_5085.xlsx","ul_5085")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HYPERLINK("./new_k5/query_cmdrels_weight_analyze/0.2_0.3_0.5/ul_53737.xlsx","ul_53737")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HYPERLINK("./new_k5/query_cmdrels_weight_analyze/0.2_0.3_0.5/ul_55125.xlsx","ul_55125")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HYPERLINK("./new_k5/query_cmdrels_weight_analyze/0.2_0.3_0.5/ul_56453.xlsx","ul_56453")</f>
        <v>ul_56453</v>
      </c>
      <c r="B408">
        <v>0</v>
      </c>
      <c r="C408">
        <v>0</v>
      </c>
      <c r="D408">
        <v>8.3333333333333329E-2</v>
      </c>
      <c r="E408">
        <v>0.125</v>
      </c>
      <c r="F408">
        <v>8.3333333333333329E-2</v>
      </c>
      <c r="G408">
        <v>0.125</v>
      </c>
    </row>
    <row r="409" spans="1:7" x14ac:dyDescent="0.15">
      <c r="A409" t="str">
        <f>HYPERLINK("./new_k5/query_cmdrels_weight_analyze/0.2_0.3_0.5/ul_63648.xlsx","ul_63648")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HYPERLINK("./new_k5/query_cmdrels_weight_analyze/0.2_0.3_0.5/ul_6402.xlsx","ul_6402")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0.33333333333333331</v>
      </c>
    </row>
    <row r="411" spans="1:7" x14ac:dyDescent="0.15">
      <c r="A411" t="str">
        <f>HYPERLINK("./new_k5/query_cmdrels_weight_analyze/0.2_0.3_0.5/ul_65106.xlsx","ul_65106")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0.91666666666666663</v>
      </c>
    </row>
    <row r="412" spans="1:7" x14ac:dyDescent="0.15">
      <c r="A412" t="str">
        <f>HYPERLINK("./new_k5/query_cmdrels_weight_analyze/0.2_0.3_0.5/ul_65932.xlsx","ul_65932")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HYPERLINK("./new_k5/query_cmdrels_weight_analyze/0.2_0.3_0.5/ul_6596.xlsx","ul_6596")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HYPERLINK("./new_k5/query_cmdrels_weight_analyze/0.2_0.3_0.5/ul_67503.xlsx","ul_67503")</f>
        <v>ul_67503</v>
      </c>
      <c r="B414">
        <v>0</v>
      </c>
      <c r="C414">
        <v>0.5</v>
      </c>
      <c r="D414">
        <v>0.25</v>
      </c>
      <c r="E414">
        <v>0.5</v>
      </c>
      <c r="F414">
        <v>0.5</v>
      </c>
      <c r="G414">
        <v>0.75</v>
      </c>
    </row>
    <row r="415" spans="1:7" x14ac:dyDescent="0.15">
      <c r="A415" t="str">
        <f>HYPERLINK("./new_k5/query_cmdrels_weight_analyze/0.2_0.3_0.5/ul_67592.xlsx","ul_67592")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HYPERLINK("./new_k5/query_cmdrels_weight_analyze/0.2_0.3_0.5/ul_70581.xlsx","ul_70581")</f>
        <v>ul_70581</v>
      </c>
      <c r="B416">
        <v>0</v>
      </c>
      <c r="C416">
        <v>0</v>
      </c>
      <c r="D416">
        <v>0.1</v>
      </c>
      <c r="E416">
        <v>6.6666666666666666E-2</v>
      </c>
      <c r="F416">
        <v>0.1</v>
      </c>
      <c r="G416">
        <v>0.28666666666666663</v>
      </c>
    </row>
    <row r="417" spans="1:7" x14ac:dyDescent="0.15">
      <c r="A417" t="str">
        <f>HYPERLINK("./new_k5/query_cmdrels_weight_analyze/0.2_0.3_0.5/ul_70614.xlsx","ul_70614")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HYPERLINK("./new_k5/query_cmdrels_weight_analyze/0.2_0.3_0.5/ul_71465.xlsx","ul_71465")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HYPERLINK("./new_k5/query_cmdrels_weight_analyze/0.2_0.3_0.5/ul_7226.xlsx","ul_7226")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0.55555555555555547</v>
      </c>
      <c r="F419">
        <v>0.33333333333333331</v>
      </c>
      <c r="G419">
        <v>0.55555555555555547</v>
      </c>
    </row>
    <row r="420" spans="1:7" x14ac:dyDescent="0.15">
      <c r="A420" t="str">
        <f>HYPERLINK("./new_k5/query_cmdrels_weight_analyze/0.2_0.3_0.5/ul_78182.xlsx","ul_78182")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</v>
      </c>
    </row>
    <row r="421" spans="1:7" x14ac:dyDescent="0.15">
      <c r="A421" t="str">
        <f>HYPERLINK("./new_k5/query_cmdrels_weight_analyze/0.2_0.3_0.5/ul_79678.xlsx","ul_79678")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HYPERLINK("./new_k5/query_cmdrels_weight_analyze/0.2_0.3_0.5/ul_79702.xlsx","ul_79702")</f>
        <v>ul_79702</v>
      </c>
      <c r="B422">
        <v>0</v>
      </c>
      <c r="C422">
        <v>0.33333333333333331</v>
      </c>
      <c r="D422">
        <v>0</v>
      </c>
      <c r="E422">
        <v>0.66666666666666663</v>
      </c>
      <c r="F422">
        <v>0</v>
      </c>
      <c r="G422">
        <v>0.8666666666666667</v>
      </c>
    </row>
    <row r="423" spans="1:7" x14ac:dyDescent="0.15">
      <c r="A423" t="str">
        <f>HYPERLINK("./new_k5/query_cmdrels_weight_analyze/0.2_0.3_0.5/ul_83593.xlsx","ul_83593")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HYPERLINK("./new_k5/query_cmdrels_weight_analyze/0.2_0.3_0.5/ul_84381.xlsx","ul_84381")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HYPERLINK("./new_k5/query_cmdrels_weight_analyze/0.2_0.3_0.5/ul_85180.xlsx","ul_85180")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0.27777777777777768</v>
      </c>
    </row>
    <row r="426" spans="1:7" x14ac:dyDescent="0.15">
      <c r="A426" t="str">
        <f>HYPERLINK("./new_k5/query_cmdrels_weight_analyze/0.2_0.3_0.5/ul_86071.xlsx","ul_86071")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HYPERLINK("./new_k5/query_cmdrels_weight_analyze/0.2_0.3_0.5/ul_86729.xlsx","ul_86729")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HYPERLINK("./new_k5/query_cmdrels_weight_analyze/0.2_0.3_0.5/ul_88824.xlsx","ul_88824")</f>
        <v>ul_88824</v>
      </c>
      <c r="B428">
        <v>0</v>
      </c>
      <c r="C428">
        <v>0.33333333333333331</v>
      </c>
      <c r="D428">
        <v>0</v>
      </c>
      <c r="E428">
        <v>0.66666666666666663</v>
      </c>
      <c r="F428">
        <v>0</v>
      </c>
      <c r="G428">
        <v>0.66666666666666663</v>
      </c>
    </row>
    <row r="429" spans="1:7" x14ac:dyDescent="0.15">
      <c r="A429" t="str">
        <f>HYPERLINK("./new_k5/query_cmdrels_weight_analyze/0.2_0.3_0.5/ul_8945.xlsx","ul_8945")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HYPERLINK("./new_k5/query_cmdrels_weight_analyze/0.2_0.3_0.5/ul_89933.xlsx","ul_89933")</f>
        <v>ul_89933</v>
      </c>
      <c r="B430">
        <v>0.5</v>
      </c>
      <c r="C430">
        <v>0</v>
      </c>
      <c r="D430">
        <v>0.5</v>
      </c>
      <c r="E430">
        <v>0.25</v>
      </c>
      <c r="F430">
        <v>0.5</v>
      </c>
      <c r="G430">
        <v>0.25</v>
      </c>
    </row>
    <row r="431" spans="1:7" x14ac:dyDescent="0.15">
      <c r="A431" t="str">
        <f>HYPERLINK("./new_k5/query_cmdrels_weight_analyze/0.2_0.3_0.5/ul_91297.xlsx","ul_91297")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HYPERLINK("./new_k5/query_cmdrels_weight_analyze/0.2_0.3_0.5/ul_9252.xlsx","ul_9252")</f>
        <v>ul_9252</v>
      </c>
      <c r="B432">
        <v>0</v>
      </c>
      <c r="C432">
        <v>0</v>
      </c>
      <c r="D432">
        <v>0.23333333333333331</v>
      </c>
      <c r="E432">
        <v>0.1</v>
      </c>
      <c r="F432">
        <v>0.23333333333333331</v>
      </c>
      <c r="G432">
        <v>0.18</v>
      </c>
    </row>
    <row r="433" spans="1:7" x14ac:dyDescent="0.15">
      <c r="A433" t="str">
        <f>HYPERLINK("./new_k5/query_cmdrels_weight_analyze/0.2_0.3_0.5/ul_92560.xlsx","ul_92560")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0.7</v>
      </c>
    </row>
    <row r="434" spans="1:7" x14ac:dyDescent="0.15">
      <c r="A434" t="str">
        <f>HYPERLINK("./new_k5/query_cmdrels_weight_analyze/0.2_0.3_0.5/ul_92799.xlsx","ul_92799")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0.27777777777777768</v>
      </c>
      <c r="F434">
        <v>0.53611111111111109</v>
      </c>
      <c r="G434">
        <v>0.53611111111111109</v>
      </c>
    </row>
    <row r="435" spans="1:7" x14ac:dyDescent="0.15">
      <c r="A435" t="str">
        <f>HYPERLINK("./new_k5/query_cmdrels_weight_analyze/0.2_0.3_0.5/ul_93139.xlsx","ul_93139")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HYPERLINK("./new_k5/query_cmdrels_weight_analyze/0.2_0.3_0.5/ul_98461.xlsx","ul_98461")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HYPERLINK("./new_k5/query_cmdrels_weight_analyze/0.2_0.4_0.4/au_102733.xlsx","au_102733")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HYPERLINK("./new_k5/query_cmdrels_weight_analyze/0.2_0.4_0.4/au_1029436.xlsx","au_1029436")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HYPERLINK("./new_k5/query_cmdrels_weight_analyze/0.2_0.4_0.4/au_1029502.xlsx","au_1029502")</f>
        <v>au_1029502</v>
      </c>
      <c r="B5">
        <v>0.25</v>
      </c>
      <c r="C5">
        <v>0.25</v>
      </c>
      <c r="D5">
        <v>0.25</v>
      </c>
      <c r="E5">
        <v>0.25</v>
      </c>
      <c r="F5">
        <v>0.375</v>
      </c>
      <c r="G5">
        <v>0.25</v>
      </c>
    </row>
    <row r="6" spans="1:7" x14ac:dyDescent="0.15">
      <c r="A6" t="str">
        <f>HYPERLINK("./new_k5/query_cmdrels_weight_analyze/0.2_0.4_0.4/au_1029531.xlsx","au_1029531")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HYPERLINK("./new_k5/query_cmdrels_weight_analyze/0.2_0.4_0.4/au_104542.xlsx","au_104542")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HYPERLINK("./new_k5/query_cmdrels_weight_analyze/0.2_0.4_0.4/au_109070.xlsx","au_109070")</f>
        <v>au_109070</v>
      </c>
      <c r="B8">
        <v>0</v>
      </c>
      <c r="C8">
        <v>0</v>
      </c>
      <c r="D8">
        <v>0.23333333333333331</v>
      </c>
      <c r="E8">
        <v>0</v>
      </c>
      <c r="F8">
        <v>0.3833333333333333</v>
      </c>
      <c r="G8">
        <v>0.05</v>
      </c>
    </row>
    <row r="9" spans="1:7" x14ac:dyDescent="0.15">
      <c r="A9" t="str">
        <f>HYPERLINK("./new_k5/query_cmdrels_weight_analyze/0.2_0.4_0.4/au_109381.xlsx","au_109381")</f>
        <v>au_109381</v>
      </c>
      <c r="B9">
        <v>0</v>
      </c>
      <c r="C9">
        <v>0</v>
      </c>
      <c r="D9">
        <v>0.25</v>
      </c>
      <c r="E9">
        <v>0.25</v>
      </c>
      <c r="F9">
        <v>0.25</v>
      </c>
      <c r="G9">
        <v>0.25</v>
      </c>
    </row>
    <row r="10" spans="1:7" x14ac:dyDescent="0.15">
      <c r="A10" t="str">
        <f>HYPERLINK("./new_k5/query_cmdrels_weight_analyze/0.2_0.4_0.4/au_110477.xlsx","au_110477")</f>
        <v>au_110477</v>
      </c>
      <c r="B10">
        <v>0.25</v>
      </c>
      <c r="C10">
        <v>0.25</v>
      </c>
      <c r="D10">
        <v>0.5</v>
      </c>
      <c r="E10">
        <v>0.75</v>
      </c>
      <c r="F10">
        <v>0.5</v>
      </c>
      <c r="G10">
        <v>0.75</v>
      </c>
    </row>
    <row r="11" spans="1:7" x14ac:dyDescent="0.15">
      <c r="A11" t="str">
        <f>HYPERLINK("./new_k5/query_cmdrels_weight_analyze/0.2_0.4_0.4/au_111678.xlsx","au_111678")</f>
        <v>au_111678</v>
      </c>
      <c r="B11">
        <v>0</v>
      </c>
      <c r="C11">
        <v>0</v>
      </c>
      <c r="D11">
        <v>0.1111111111111111</v>
      </c>
      <c r="E11">
        <v>0.16666666666666671</v>
      </c>
      <c r="F11">
        <v>0.1111111111111111</v>
      </c>
      <c r="G11">
        <v>0.16666666666666671</v>
      </c>
    </row>
    <row r="12" spans="1:7" x14ac:dyDescent="0.15">
      <c r="A12" t="str">
        <f>HYPERLINK("./new_k5/query_cmdrels_weight_analyze/0.2_0.4_0.4/au_112512.xlsx","au_112512")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HYPERLINK("./new_k5/query_cmdrels_weight_analyze/0.2_0.4_0.4/au_115369.xlsx","au_115369")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HYPERLINK("./new_k5/query_cmdrels_weight_analyze/0.2_0.4_0.4/au_11789.xlsx","au_11789")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HYPERLINK("./new_k5/query_cmdrels_weight_analyze/0.2_0.4_0.4/au_117950.xlsx","au_117950")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0.125</v>
      </c>
    </row>
    <row r="16" spans="1:7" x14ac:dyDescent="0.15">
      <c r="A16" t="str">
        <f>HYPERLINK("./new_k5/query_cmdrels_weight_analyze/0.2_0.4_0.4/au_122113.xlsx","au_122113")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HYPERLINK("./new_k5/query_cmdrels_weight_analyze/0.2_0.4_0.4/au_123798.xlsx","au_123798")</f>
        <v>au_123798</v>
      </c>
      <c r="B17">
        <v>0</v>
      </c>
      <c r="C17">
        <v>0</v>
      </c>
      <c r="D17">
        <v>5.5555555555555552E-2</v>
      </c>
      <c r="E17">
        <v>5.5555555555555552E-2</v>
      </c>
      <c r="F17">
        <v>0.23888888888888879</v>
      </c>
      <c r="G17">
        <v>0.23888888888888879</v>
      </c>
    </row>
    <row r="18" spans="1:7" x14ac:dyDescent="0.15">
      <c r="A18" t="str">
        <f>HYPERLINK("./new_k5/query_cmdrels_weight_analyze/0.2_0.4_0.4/au_125257.xlsx","au_125257")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HYPERLINK("./new_k5/query_cmdrels_weight_analyze/0.2_0.4_0.4/au_126153.xlsx","au_126153")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0.16666666666666671</v>
      </c>
      <c r="F19">
        <v>0.45833333333333331</v>
      </c>
      <c r="G19">
        <v>0.35</v>
      </c>
    </row>
    <row r="20" spans="1:7" x14ac:dyDescent="0.15">
      <c r="A20" t="str">
        <f>HYPERLINK("./new_k5/query_cmdrels_weight_analyze/0.2_0.4_0.4/au_127326.xlsx","au_127326")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HYPERLINK("./new_k5/query_cmdrels_weight_analyze/0.2_0.4_0.4/au_128463.xlsx","au_128463")</f>
        <v>au_128463</v>
      </c>
      <c r="B21">
        <v>0.33333333333333331</v>
      </c>
      <c r="C21">
        <v>0.33333333333333331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HYPERLINK("./new_k5/query_cmdrels_weight_analyze/0.2_0.4_0.4/au_130393.xlsx","au_130393")</f>
        <v>au_130393</v>
      </c>
      <c r="B22">
        <v>0</v>
      </c>
      <c r="C22">
        <v>0.25</v>
      </c>
      <c r="D22">
        <v>0.125</v>
      </c>
      <c r="E22">
        <v>0.25</v>
      </c>
      <c r="F22">
        <v>0.125</v>
      </c>
      <c r="G22">
        <v>0.375</v>
      </c>
    </row>
    <row r="23" spans="1:7" x14ac:dyDescent="0.15">
      <c r="A23" t="str">
        <f>HYPERLINK("./new_k5/query_cmdrels_weight_analyze/0.2_0.4_0.4/au_131570.xlsx","au_131570")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HYPERLINK("./new_k5/query_cmdrels_weight_analyze/0.2_0.4_0.4/au_133318.xlsx","au_133318")</f>
        <v>au_133318</v>
      </c>
      <c r="B24">
        <v>0</v>
      </c>
      <c r="C24">
        <v>0.25</v>
      </c>
      <c r="D24">
        <v>0</v>
      </c>
      <c r="E24">
        <v>0.41666666666666657</v>
      </c>
      <c r="F24">
        <v>0</v>
      </c>
      <c r="G24">
        <v>0.41666666666666657</v>
      </c>
    </row>
    <row r="25" spans="1:7" x14ac:dyDescent="0.15">
      <c r="A25" t="str">
        <f>HYPERLINK("./new_k5/query_cmdrels_weight_analyze/0.2_0.4_0.4/au_133343.xlsx","au_133343")</f>
        <v>au_133343</v>
      </c>
      <c r="B25">
        <v>0</v>
      </c>
      <c r="C25">
        <v>0</v>
      </c>
      <c r="D25">
        <v>0</v>
      </c>
      <c r="E25">
        <v>0.1111111111111111</v>
      </c>
      <c r="F25">
        <v>0</v>
      </c>
      <c r="G25">
        <v>0.27777777777777768</v>
      </c>
    </row>
    <row r="26" spans="1:7" x14ac:dyDescent="0.15">
      <c r="A26" t="str">
        <f>HYPERLINK("./new_k5/query_cmdrels_weight_analyze/0.2_0.4_0.4/au_133389.xlsx","au_133389")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HYPERLINK("./new_k5/query_cmdrels_weight_analyze/0.2_0.4_0.4/au_141277.xlsx","au_141277")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HYPERLINK("./new_k5/query_cmdrels_weight_analyze/0.2_0.4_0.4/au_143819.xlsx","au_143819")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HYPERLINK("./new_k5/query_cmdrels_weight_analyze/0.2_0.4_0.4/au_145935.xlsx","au_145935")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HYPERLINK("./new_k5/query_cmdrels_weight_analyze/0.2_0.4_0.4/au_147241.xlsx","au_147241")</f>
        <v>au_147241</v>
      </c>
      <c r="B30">
        <v>0</v>
      </c>
      <c r="C30">
        <v>0</v>
      </c>
      <c r="D30">
        <v>0.29166666666666657</v>
      </c>
      <c r="E30">
        <v>8.3333333333333329E-2</v>
      </c>
      <c r="F30">
        <v>0.29166666666666657</v>
      </c>
      <c r="G30">
        <v>0.18333333333333329</v>
      </c>
    </row>
    <row r="31" spans="1:7" x14ac:dyDescent="0.15">
      <c r="A31" t="str">
        <f>HYPERLINK("./new_k5/query_cmdrels_weight_analyze/0.2_0.4_0.4/au_147800.xlsx","au_147800")</f>
        <v>au_147800</v>
      </c>
      <c r="B31">
        <v>0</v>
      </c>
      <c r="C31">
        <v>0</v>
      </c>
      <c r="D31">
        <v>0.1111111111111111</v>
      </c>
      <c r="E31">
        <v>0.1111111111111111</v>
      </c>
      <c r="F31">
        <v>0.1111111111111111</v>
      </c>
      <c r="G31">
        <v>0.1111111111111111</v>
      </c>
    </row>
    <row r="32" spans="1:7" x14ac:dyDescent="0.15">
      <c r="A32" t="str">
        <f>HYPERLINK("./new_k5/query_cmdrels_weight_analyze/0.2_0.4_0.4/au_148321.xlsx","au_148321")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0.40277777777777768</v>
      </c>
    </row>
    <row r="33" spans="1:7" x14ac:dyDescent="0.15">
      <c r="A33" t="str">
        <f>HYPERLINK("./new_k5/query_cmdrels_weight_analyze/0.2_0.4_0.4/au_148638.xlsx","au_148638")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HYPERLINK("./new_k5/query_cmdrels_weight_analyze/0.2_0.4_0.4/au_151049.xlsx","au_151049")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HYPERLINK("./new_k5/query_cmdrels_weight_analyze/0.2_0.4_0.4/au_151941.xlsx","au_151941")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HYPERLINK("./new_k5/query_cmdrels_weight_analyze/0.2_0.4_0.4/au_152297.xlsx","au_152297")</f>
        <v>au_152297</v>
      </c>
      <c r="B36">
        <v>0</v>
      </c>
      <c r="C36">
        <v>0</v>
      </c>
      <c r="D36">
        <v>7.1428571428571425E-2</v>
      </c>
      <c r="E36">
        <v>0.16666666666666671</v>
      </c>
      <c r="F36">
        <v>7.1428571428571425E-2</v>
      </c>
      <c r="G36">
        <v>0.25238095238095237</v>
      </c>
    </row>
    <row r="37" spans="1:7" x14ac:dyDescent="0.15">
      <c r="A37" t="str">
        <f>HYPERLINK("./new_k5/query_cmdrels_weight_analyze/0.2_0.4_0.4/au_153976.xlsx","au_153976")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0.27777777777777768</v>
      </c>
      <c r="F37">
        <v>0.33333333333333331</v>
      </c>
      <c r="G37">
        <v>0.37777777777777782</v>
      </c>
    </row>
    <row r="38" spans="1:7" x14ac:dyDescent="0.15">
      <c r="A38" t="str">
        <f>HYPERLINK("./new_k5/query_cmdrels_weight_analyze/0.2_0.4_0.4/au_154431.xlsx","au_154431")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HYPERLINK("./new_k5/query_cmdrels_weight_analyze/0.2_0.4_0.4/au_159708.xlsx","au_159708")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0.33333333333333331</v>
      </c>
      <c r="F39">
        <v>0.33333333333333331</v>
      </c>
      <c r="G39">
        <v>0.5</v>
      </c>
    </row>
    <row r="40" spans="1:7" x14ac:dyDescent="0.15">
      <c r="A40" t="str">
        <f>HYPERLINK("./new_k5/query_cmdrels_weight_analyze/0.2_0.4_0.4/au_160869.xlsx","au_160869")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HYPERLINK("./new_k5/query_cmdrels_weight_analyze/0.2_0.4_0.4/au_161313.xlsx","au_161313")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0.125</v>
      </c>
    </row>
    <row r="42" spans="1:7" x14ac:dyDescent="0.15">
      <c r="A42" t="str">
        <f>HYPERLINK("./new_k5/query_cmdrels_weight_analyze/0.2_0.4_0.4/au_162075.xlsx","au_162075")</f>
        <v>au_162075</v>
      </c>
      <c r="B42">
        <v>0.25</v>
      </c>
      <c r="C42">
        <v>0</v>
      </c>
      <c r="D42">
        <v>0.5</v>
      </c>
      <c r="E42">
        <v>8.3333333333333329E-2</v>
      </c>
      <c r="F42">
        <v>0.5</v>
      </c>
      <c r="G42">
        <v>0.18333333333333329</v>
      </c>
    </row>
    <row r="43" spans="1:7" x14ac:dyDescent="0.15">
      <c r="A43" t="str">
        <f>HYPERLINK("./new_k5/query_cmdrels_weight_analyze/0.2_0.4_0.4/au_16277.xlsx","au_16277")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0.83333333333333337</v>
      </c>
    </row>
    <row r="44" spans="1:7" x14ac:dyDescent="0.15">
      <c r="A44" t="str">
        <f>HYPERLINK("./new_k5/query_cmdrels_weight_analyze/0.2_0.4_0.4/au_163155.xlsx","au_163155")</f>
        <v>au_163155</v>
      </c>
      <c r="B44">
        <v>0.125</v>
      </c>
      <c r="C44">
        <v>0.125</v>
      </c>
      <c r="D44">
        <v>0.375</v>
      </c>
      <c r="E44">
        <v>0.375</v>
      </c>
      <c r="F44">
        <v>0.5</v>
      </c>
      <c r="G44">
        <v>0.5</v>
      </c>
    </row>
    <row r="45" spans="1:7" x14ac:dyDescent="0.15">
      <c r="A45" t="str">
        <f>HYPERLINK("./new_k5/query_cmdrels_weight_analyze/0.2_0.4_0.4/au_164473.xlsx","au_164473")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HYPERLINK("./new_k5/query_cmdrels_weight_analyze/0.2_0.4_0.4/au_16584.xlsx","au_16584")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0.15151515151515149</v>
      </c>
      <c r="F46">
        <v>0.13636363636363641</v>
      </c>
      <c r="G46">
        <v>0.2196969696969697</v>
      </c>
    </row>
    <row r="47" spans="1:7" x14ac:dyDescent="0.15">
      <c r="A47" t="str">
        <f>HYPERLINK("./new_k5/query_cmdrels_weight_analyze/0.2_0.4_0.4/au_166420.xlsx","au_166420")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HYPERLINK("./new_k5/query_cmdrels_weight_analyze/0.2_0.4_0.4/au_169473.xlsx","au_169473")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0.33333333333333331</v>
      </c>
      <c r="F48">
        <v>0.43333333333333329</v>
      </c>
      <c r="G48">
        <v>0.33333333333333331</v>
      </c>
    </row>
    <row r="49" spans="1:7" x14ac:dyDescent="0.15">
      <c r="A49" t="str">
        <f>HYPERLINK("./new_k5/query_cmdrels_weight_analyze/0.2_0.4_0.4/au_169516.xlsx","au_169516")</f>
        <v>au_169516</v>
      </c>
      <c r="B49">
        <v>0.25</v>
      </c>
      <c r="C49">
        <v>0.25</v>
      </c>
      <c r="D49">
        <v>0.25</v>
      </c>
      <c r="E49">
        <v>0.5</v>
      </c>
      <c r="F49">
        <v>0.25</v>
      </c>
      <c r="G49">
        <v>0.5</v>
      </c>
    </row>
    <row r="50" spans="1:7" x14ac:dyDescent="0.15">
      <c r="A50" t="str">
        <f>HYPERLINK("./new_k5/query_cmdrels_weight_analyze/0.2_0.4_0.4/au_174292.xlsx","au_174292")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HYPERLINK("./new_k5/query_cmdrels_weight_analyze/0.2_0.4_0.4/au_178481.xlsx","au_178481")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HYPERLINK("./new_k5/query_cmdrels_weight_analyze/0.2_0.4_0.4/au_180925.xlsx","au_180925")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HYPERLINK("./new_k5/query_cmdrels_weight_analyze/0.2_0.4_0.4/au_187888.xlsx","au_187888")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HYPERLINK("./new_k5/query_cmdrels_weight_analyze/0.2_0.4_0.4/au_191390.xlsx","au_191390")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HYPERLINK("./new_k5/query_cmdrels_weight_analyze/0.2_0.4_0.4/au_192798.xlsx","au_192798")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HYPERLINK("./new_k5/query_cmdrels_weight_analyze/0.2_0.4_0.4/au_201775.xlsx","au_201775")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0.55555555555555547</v>
      </c>
      <c r="F56">
        <v>0.66666666666666663</v>
      </c>
      <c r="G56">
        <v>0.75555555555555554</v>
      </c>
    </row>
    <row r="57" spans="1:7" x14ac:dyDescent="0.15">
      <c r="A57" t="str">
        <f>HYPERLINK("./new_k5/query_cmdrels_weight_analyze/0.2_0.4_0.4/au_204166.xlsx","au_204166")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HYPERLINK("./new_k5/query_cmdrels_weight_analyze/0.2_0.4_0.4/au_207447.xlsx","au_207447")</f>
        <v>au_207447</v>
      </c>
      <c r="B58">
        <v>0.33333333333333331</v>
      </c>
      <c r="C58">
        <v>0</v>
      </c>
      <c r="D58">
        <v>0.33333333333333331</v>
      </c>
      <c r="E58">
        <v>0.16666666666666671</v>
      </c>
      <c r="F58">
        <v>0.33333333333333331</v>
      </c>
      <c r="G58">
        <v>0.3</v>
      </c>
    </row>
    <row r="59" spans="1:7" x14ac:dyDescent="0.15">
      <c r="A59" t="str">
        <f>HYPERLINK("./new_k5/query_cmdrels_weight_analyze/0.2_0.4_0.4/au_210680.xlsx","au_210680")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HYPERLINK("./new_k5/query_cmdrels_weight_analyze/0.2_0.4_0.4/au_214246.xlsx","au_214246")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HYPERLINK("./new_k5/query_cmdrels_weight_analyze/0.2_0.4_0.4/au_214643.xlsx","au_214643")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HYPERLINK("./new_k5/query_cmdrels_weight_analyze/0.2_0.4_0.4/au_2194.xlsx","au_2194")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HYPERLINK("./new_k5/query_cmdrels_weight_analyze/0.2_0.4_0.4/au_221962.xlsx","au_221962")</f>
        <v>au_221962</v>
      </c>
      <c r="B63">
        <v>0</v>
      </c>
      <c r="C63">
        <v>0</v>
      </c>
      <c r="D63">
        <v>5.5555555555555552E-2</v>
      </c>
      <c r="E63">
        <v>8.3333333333333329E-2</v>
      </c>
      <c r="F63">
        <v>0.1388888888888889</v>
      </c>
      <c r="G63">
        <v>0.26666666666666672</v>
      </c>
    </row>
    <row r="64" spans="1:7" x14ac:dyDescent="0.15">
      <c r="A64" t="str">
        <f>HYPERLINK("./new_k5/query_cmdrels_weight_analyze/0.2_0.4_0.4/au_22608.xlsx","au_22608")</f>
        <v>au_22608</v>
      </c>
      <c r="B64">
        <v>0.33333333333333331</v>
      </c>
      <c r="C64">
        <v>0.33333333333333331</v>
      </c>
      <c r="D64">
        <v>0.33333333333333331</v>
      </c>
      <c r="E64">
        <v>0.33333333333333331</v>
      </c>
      <c r="F64">
        <v>0.33333333333333331</v>
      </c>
      <c r="G64">
        <v>0.5</v>
      </c>
    </row>
    <row r="65" spans="1:7" x14ac:dyDescent="0.15">
      <c r="A65" t="str">
        <f>HYPERLINK("./new_k5/query_cmdrels_weight_analyze/0.2_0.4_0.4/au_230698.xlsx","au_230698")</f>
        <v>au_230698</v>
      </c>
      <c r="B65">
        <v>0.125</v>
      </c>
      <c r="C65">
        <v>0.125</v>
      </c>
      <c r="D65">
        <v>0.25</v>
      </c>
      <c r="E65">
        <v>0.25</v>
      </c>
      <c r="F65">
        <v>0.32500000000000001</v>
      </c>
      <c r="G65">
        <v>0.34375</v>
      </c>
    </row>
    <row r="66" spans="1:7" x14ac:dyDescent="0.15">
      <c r="A66" t="str">
        <f>HYPERLINK("./new_k5/query_cmdrels_weight_analyze/0.2_0.4_0.4/au_232442.xlsx","au_232442")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HYPERLINK("./new_k5/query_cmdrels_weight_analyze/0.2_0.4_0.4/au_233378.xlsx","au_233378")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HYPERLINK("./new_k5/query_cmdrels_weight_analyze/0.2_0.4_0.4/au_24027.xlsx","au_24027")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HYPERLINK("./new_k5/query_cmdrels_weight_analyze/0.2_0.4_0.4/au_246647.xlsx","au_246647")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HYPERLINK("./new_k5/query_cmdrels_weight_analyze/0.2_0.4_0.4/au_254424.xlsx","au_254424")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HYPERLINK("./new_k5/query_cmdrels_weight_analyze/0.2_0.4_0.4/au_255890.xlsx","au_255890")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HYPERLINK("./new_k5/query_cmdrels_weight_analyze/0.2_0.4_0.4/au_257248.xlsx","au_257248")</f>
        <v>au_257248</v>
      </c>
      <c r="B72">
        <v>0</v>
      </c>
      <c r="C72">
        <v>0.14285714285714279</v>
      </c>
      <c r="D72">
        <v>0.16666666666666671</v>
      </c>
      <c r="E72">
        <v>0.23809523809523811</v>
      </c>
      <c r="F72">
        <v>0.25238095238095237</v>
      </c>
      <c r="G72">
        <v>0.34523809523809518</v>
      </c>
    </row>
    <row r="73" spans="1:7" x14ac:dyDescent="0.15">
      <c r="A73" t="str">
        <f>HYPERLINK("./new_k5/query_cmdrels_weight_analyze/0.2_0.4_0.4/au_259354.xlsx","au_259354")</f>
        <v>au_259354</v>
      </c>
      <c r="B73">
        <v>0</v>
      </c>
      <c r="C73">
        <v>0.14285714285714279</v>
      </c>
      <c r="D73">
        <v>0.16666666666666671</v>
      </c>
      <c r="E73">
        <v>0.2857142857142857</v>
      </c>
      <c r="F73">
        <v>0.27380952380952378</v>
      </c>
      <c r="G73">
        <v>0.39285714285714279</v>
      </c>
    </row>
    <row r="74" spans="1:7" x14ac:dyDescent="0.15">
      <c r="A74" t="str">
        <f>HYPERLINK("./new_k5/query_cmdrels_weight_analyze/0.2_0.4_0.4/au_263378.xlsx","au_263378")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0.5</v>
      </c>
    </row>
    <row r="75" spans="1:7" x14ac:dyDescent="0.15">
      <c r="A75" t="str">
        <f>HYPERLINK("./new_k5/query_cmdrels_weight_analyze/0.2_0.4_0.4/au_264215.xlsx","au_264215")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HYPERLINK("./new_k5/query_cmdrels_weight_analyze/0.2_0.4_0.4/au_265176.xlsx","au_265176")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HYPERLINK("./new_k5/query_cmdrels_weight_analyze/0.2_0.4_0.4/au_275704.xlsx","au_275704")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HYPERLINK("./new_k5/query_cmdrels_weight_analyze/0.2_0.4_0.4/au_276669.xlsx","au_276669")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HYPERLINK("./new_k5/query_cmdrels_weight_analyze/0.2_0.4_0.4/au_277565.xlsx","au_277565")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HYPERLINK("./new_k5/query_cmdrels_weight_analyze/0.2_0.4_0.4/au_278403.xlsx","au_278403")</f>
        <v>au_278403</v>
      </c>
      <c r="B80">
        <v>0</v>
      </c>
      <c r="C80">
        <v>0</v>
      </c>
      <c r="D80">
        <v>8.3333333333333329E-2</v>
      </c>
      <c r="E80">
        <v>8.3333333333333329E-2</v>
      </c>
      <c r="F80">
        <v>0.20833333333333329</v>
      </c>
      <c r="G80">
        <v>0.20833333333333329</v>
      </c>
    </row>
    <row r="81" spans="1:7" x14ac:dyDescent="0.15">
      <c r="A81" t="str">
        <f>HYPERLINK("./new_k5/query_cmdrels_weight_analyze/0.2_0.4_0.4/au_28039.xlsx","au_28039")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HYPERLINK("./new_k5/query_cmdrels_weight_analyze/0.2_0.4_0.4/au_281509.xlsx","au_281509")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HYPERLINK("./new_k5/query_cmdrels_weight_analyze/0.2_0.4_0.4/au_282806.xlsx","au_282806")</f>
        <v>au_282806</v>
      </c>
      <c r="B83">
        <v>0</v>
      </c>
      <c r="C83">
        <v>0.33333333333333331</v>
      </c>
      <c r="D83">
        <v>0.38888888888888878</v>
      </c>
      <c r="E83">
        <v>0.55555555555555547</v>
      </c>
      <c r="F83">
        <v>0.38888888888888878</v>
      </c>
      <c r="G83">
        <v>0.80555555555555547</v>
      </c>
    </row>
    <row r="84" spans="1:7" x14ac:dyDescent="0.15">
      <c r="A84" t="str">
        <f>HYPERLINK("./new_k5/query_cmdrels_weight_analyze/0.2_0.4_0.4/au_283559.xlsx","au_283559")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HYPERLINK("./new_k5/query_cmdrels_weight_analyze/0.2_0.4_0.4/au_285539.xlsx","au_285539")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HYPERLINK("./new_k5/query_cmdrels_weight_analyze/0.2_0.4_0.4/au_287532.xlsx","au_287532")</f>
        <v>au_287532</v>
      </c>
      <c r="B86">
        <v>0</v>
      </c>
      <c r="C86">
        <v>0.25</v>
      </c>
      <c r="D86">
        <v>0</v>
      </c>
      <c r="E86">
        <v>0.75</v>
      </c>
      <c r="F86">
        <v>0</v>
      </c>
      <c r="G86">
        <v>0.75</v>
      </c>
    </row>
    <row r="87" spans="1:7" x14ac:dyDescent="0.15">
      <c r="A87" t="str">
        <f>HYPERLINK("./new_k5/query_cmdrels_weight_analyze/0.2_0.4_0.4/au_294257.xlsx","au_294257")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HYPERLINK("./new_k5/query_cmdrels_weight_analyze/0.2_0.4_0.4/au_296155.xlsx","au_296155")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HYPERLINK("./new_k5/query_cmdrels_weight_analyze/0.2_0.4_0.4/au_299975.xlsx","au_299975")</f>
        <v>au_299975</v>
      </c>
      <c r="B89">
        <v>0.25</v>
      </c>
      <c r="C89">
        <v>0</v>
      </c>
      <c r="D89">
        <v>0.5</v>
      </c>
      <c r="E89">
        <v>0</v>
      </c>
      <c r="F89">
        <v>0.6875</v>
      </c>
      <c r="G89">
        <v>6.25E-2</v>
      </c>
    </row>
    <row r="90" spans="1:7" x14ac:dyDescent="0.15">
      <c r="A90" t="str">
        <f>HYPERLINK("./new_k5/query_cmdrels_weight_analyze/0.2_0.4_0.4/au_301096.xlsx","au_301096")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HYPERLINK("./new_k5/query_cmdrels_weight_analyze/0.2_0.4_0.4/au_303593.xlsx","au_303593")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HYPERLINK("./new_k5/query_cmdrels_weight_analyze/0.2_0.4_0.4/au_303849.xlsx","au_303849")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HYPERLINK("./new_k5/query_cmdrels_weight_analyze/0.2_0.4_0.4/au_307541.xlsx","au_307541")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HYPERLINK("./new_k5/query_cmdrels_weight_analyze/0.2_0.4_0.4/au_307688.xlsx","au_307688")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HYPERLINK("./new_k5/query_cmdrels_weight_analyze/0.2_0.4_0.4/au_309047.xlsx","au_309047")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HYPERLINK("./new_k5/query_cmdrels_weight_analyze/0.2_0.4_0.4/au_311558.xlsx","au_311558")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0.41666666666666657</v>
      </c>
    </row>
    <row r="97" spans="1:7" x14ac:dyDescent="0.15">
      <c r="A97" t="str">
        <f>HYPERLINK("./new_k5/query_cmdrels_weight_analyze/0.2_0.4_0.4/au_318973.xlsx","au_318973")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HYPERLINK("./new_k5/query_cmdrels_weight_analyze/0.2_0.4_0.4/au_3205.xlsx","au_3205")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HYPERLINK("./new_k5/query_cmdrels_weight_analyze/0.2_0.4_0.4/au_323131.xlsx","au_323131")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HYPERLINK("./new_k5/query_cmdrels_weight_analyze/0.2_0.4_0.4/au_323392.xlsx","au_323392")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HYPERLINK("./new_k5/query_cmdrels_weight_analyze/0.2_0.4_0.4/au_325368.xlsx","au_325368")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HYPERLINK("./new_k5/query_cmdrels_weight_analyze/0.2_0.4_0.4/au_328162.xlsx","au_328162")</f>
        <v>au_328162</v>
      </c>
      <c r="B102">
        <v>0.33333333333333331</v>
      </c>
      <c r="C102">
        <v>0.33333333333333331</v>
      </c>
      <c r="D102">
        <v>1</v>
      </c>
      <c r="E102">
        <v>0.55555555555555547</v>
      </c>
      <c r="F102">
        <v>1</v>
      </c>
      <c r="G102">
        <v>0.55555555555555547</v>
      </c>
    </row>
    <row r="103" spans="1:7" x14ac:dyDescent="0.15">
      <c r="A103" t="str">
        <f>HYPERLINK("./new_k5/query_cmdrels_weight_analyze/0.2_0.4_0.4/au_330148.xlsx","au_330148")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HYPERLINK("./new_k5/query_cmdrels_weight_analyze/0.2_0.4_0.4/au_332315.xlsx","au_332315")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HYPERLINK("./new_k5/query_cmdrels_weight_analyze/0.2_0.4_0.4/au_334081.xlsx","au_334081")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HYPERLINK("./new_k5/query_cmdrels_weight_analyze/0.2_0.4_0.4/au_34077.xlsx","au_34077")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0.5</v>
      </c>
      <c r="F106">
        <v>0.33333333333333331</v>
      </c>
      <c r="G106">
        <v>0.6333333333333333</v>
      </c>
    </row>
    <row r="107" spans="1:7" x14ac:dyDescent="0.15">
      <c r="A107" t="str">
        <f>HYPERLINK("./new_k5/query_cmdrels_weight_analyze/0.2_0.4_0.4/au_341428.xlsx","au_341428")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HYPERLINK("./new_k5/query_cmdrels_weight_analyze/0.2_0.4_0.4/au_341584.xlsx","au_341584")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HYPERLINK("./new_k5/query_cmdrels_weight_analyze/0.2_0.4_0.4/au_346864.xlsx","au_346864")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0.2857142857142857</v>
      </c>
      <c r="F109">
        <v>0.23809523809523811</v>
      </c>
      <c r="G109">
        <v>0.37142857142857139</v>
      </c>
    </row>
    <row r="110" spans="1:7" x14ac:dyDescent="0.15">
      <c r="A110" t="str">
        <f>HYPERLINK("./new_k5/query_cmdrels_weight_analyze/0.2_0.4_0.4/au_351765.xlsx","au_351765")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0.5</v>
      </c>
    </row>
    <row r="111" spans="1:7" x14ac:dyDescent="0.15">
      <c r="A111" t="str">
        <f>HYPERLINK("./new_k5/query_cmdrels_weight_analyze/0.2_0.4_0.4/au_35922.xlsx","au_35922")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HYPERLINK("./new_k5/query_cmdrels_weight_analyze/0.2_0.4_0.4/au_359856.xlsx","au_359856")</f>
        <v>au_359856</v>
      </c>
      <c r="B112">
        <v>0.25</v>
      </c>
      <c r="C112">
        <v>0.25</v>
      </c>
      <c r="D112">
        <v>0.75</v>
      </c>
      <c r="E112">
        <v>0.25</v>
      </c>
      <c r="F112">
        <v>0.95</v>
      </c>
      <c r="G112">
        <v>0.375</v>
      </c>
    </row>
    <row r="113" spans="1:7" x14ac:dyDescent="0.15">
      <c r="A113" t="str">
        <f>HYPERLINK("./new_k5/query_cmdrels_weight_analyze/0.2_0.4_0.4/au_360423.xlsx","au_360423")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HYPERLINK("./new_k5/query_cmdrels_weight_analyze/0.2_0.4_0.4/au_36287.xlsx","au_36287")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HYPERLINK("./new_k5/query_cmdrels_weight_analyze/0.2_0.4_0.4/au_366742.xlsx","au_366742")</f>
        <v>au_366742</v>
      </c>
      <c r="B115">
        <v>0</v>
      </c>
      <c r="C115">
        <v>0</v>
      </c>
      <c r="D115">
        <v>0</v>
      </c>
      <c r="E115">
        <v>0.125</v>
      </c>
      <c r="F115">
        <v>0</v>
      </c>
      <c r="G115">
        <v>0.22500000000000001</v>
      </c>
    </row>
    <row r="116" spans="1:7" x14ac:dyDescent="0.15">
      <c r="A116" t="str">
        <f>HYPERLINK("./new_k5/query_cmdrels_weight_analyze/0.2_0.4_0.4/au_377937.xlsx","au_377937")</f>
        <v>au_377937</v>
      </c>
      <c r="B116">
        <v>0.25</v>
      </c>
      <c r="C116">
        <v>0.25</v>
      </c>
      <c r="D116">
        <v>0.5</v>
      </c>
      <c r="E116">
        <v>0.5</v>
      </c>
      <c r="F116">
        <v>0.5</v>
      </c>
      <c r="G116">
        <v>0.6875</v>
      </c>
    </row>
    <row r="117" spans="1:7" x14ac:dyDescent="0.15">
      <c r="A117" t="str">
        <f>HYPERLINK("./new_k5/query_cmdrels_weight_analyze/0.2_0.4_0.4/au_383997.xlsx","au_383997")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0.39285714285714279</v>
      </c>
    </row>
    <row r="118" spans="1:7" x14ac:dyDescent="0.15">
      <c r="A118" t="str">
        <f>HYPERLINK("./new_k5/query_cmdrels_weight_analyze/0.2_0.4_0.4/au_3883.xlsx","au_3883")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0.35</v>
      </c>
    </row>
    <row r="119" spans="1:7" x14ac:dyDescent="0.15">
      <c r="A119" t="str">
        <f>HYPERLINK("./new_k5/query_cmdrels_weight_analyze/0.2_0.4_0.4/au_396883.xlsx","au_396883")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HYPERLINK("./new_k5/query_cmdrels_weight_analyze/0.2_0.4_0.4/au_39760.xlsx","au_39760")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HYPERLINK("./new_k5/query_cmdrels_weight_analyze/0.2_0.4_0.4/au_398818.xlsx","au_398818")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HYPERLINK("./new_k5/query_cmdrels_weight_analyze/0.2_0.4_0.4/au_400807.xlsx","au_400807")</f>
        <v>au_400807</v>
      </c>
      <c r="B122">
        <v>0</v>
      </c>
      <c r="C122">
        <v>0.33333333333333331</v>
      </c>
      <c r="D122">
        <v>0.16666666666666671</v>
      </c>
      <c r="E122">
        <v>0.55555555555555547</v>
      </c>
      <c r="F122">
        <v>0.16666666666666671</v>
      </c>
      <c r="G122">
        <v>0.75555555555555554</v>
      </c>
    </row>
    <row r="123" spans="1:7" x14ac:dyDescent="0.15">
      <c r="A123" t="str">
        <f>HYPERLINK("./new_k5/query_cmdrels_weight_analyze/0.2_0.4_0.4/au_408611.xlsx","au_408611")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HYPERLINK("./new_k5/query_cmdrels_weight_analyze/0.2_0.4_0.4/au_414737.xlsx","au_414737")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HYPERLINK("./new_k5/query_cmdrels_weight_analyze/0.2_0.4_0.4/au_420722.xlsx","au_420722")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HYPERLINK("./new_k5/query_cmdrels_weight_analyze/0.2_0.4_0.4/au_423942.xlsx","au_423942")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HYPERLINK("./new_k5/query_cmdrels_weight_analyze/0.2_0.4_0.4/au_430382.xlsx","au_430382")</f>
        <v>au_430382</v>
      </c>
      <c r="B127">
        <v>0</v>
      </c>
      <c r="C127">
        <v>0.25</v>
      </c>
      <c r="D127">
        <v>0.29166666666666657</v>
      </c>
      <c r="E127">
        <v>0.5</v>
      </c>
      <c r="F127">
        <v>0.29166666666666657</v>
      </c>
      <c r="G127">
        <v>0.5</v>
      </c>
    </row>
    <row r="128" spans="1:7" x14ac:dyDescent="0.15">
      <c r="A128" t="str">
        <f>HYPERLINK("./new_k5/query_cmdrels_weight_analyze/0.2_0.4_0.4/au_432836.xlsx","au_432836")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HYPERLINK("./new_k5/query_cmdrels_weight_analyze/0.2_0.4_0.4/au_440326.xlsx","au_440326")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HYPERLINK("./new_k5/query_cmdrels_weight_analyze/0.2_0.4_0.4/au_442914.xlsx","au_442914")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HYPERLINK("./new_k5/query_cmdrels_weight_analyze/0.2_0.4_0.4/au_443227.xlsx","au_443227")</f>
        <v>au_443227</v>
      </c>
      <c r="B131">
        <v>0.5</v>
      </c>
      <c r="C131">
        <v>0</v>
      </c>
      <c r="D131">
        <v>0.5</v>
      </c>
      <c r="E131">
        <v>0.16666666666666671</v>
      </c>
      <c r="F131">
        <v>0.5</v>
      </c>
      <c r="G131">
        <v>0.16666666666666671</v>
      </c>
    </row>
    <row r="132" spans="1:7" x14ac:dyDescent="0.15">
      <c r="A132" t="str">
        <f>HYPERLINK("./new_k5/query_cmdrels_weight_analyze/0.2_0.4_0.4/au_44534.xlsx","au_44534")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HYPERLINK("./new_k5/query_cmdrels_weight_analyze/0.2_0.4_0.4/au_451805.xlsx","au_451805")</f>
        <v>au_451805</v>
      </c>
      <c r="B133">
        <v>0.33333333333333331</v>
      </c>
      <c r="C133">
        <v>0.33333333333333331</v>
      </c>
      <c r="D133">
        <v>0.33333333333333331</v>
      </c>
      <c r="E133">
        <v>0.33333333333333331</v>
      </c>
      <c r="F133">
        <v>0.33333333333333331</v>
      </c>
      <c r="G133">
        <v>0.33333333333333331</v>
      </c>
    </row>
    <row r="134" spans="1:7" x14ac:dyDescent="0.15">
      <c r="A134" t="str">
        <f>HYPERLINK("./new_k5/query_cmdrels_weight_analyze/0.2_0.4_0.4/au_464264.xlsx","au_464264")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0.16666666666666671</v>
      </c>
    </row>
    <row r="135" spans="1:7" x14ac:dyDescent="0.15">
      <c r="A135" t="str">
        <f>HYPERLINK("./new_k5/query_cmdrels_weight_analyze/0.2_0.4_0.4/au_468808.xlsx","au_468808")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HYPERLINK("./new_k5/query_cmdrels_weight_analyze/0.2_0.4_0.4/au_469143.xlsx","au_469143")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HYPERLINK("./new_k5/query_cmdrels_weight_analyze/0.2_0.4_0.4/au_470237.xlsx","au_470237")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HYPERLINK("./new_k5/query_cmdrels_weight_analyze/0.2_0.4_0.4/au_473037.xlsx","au_473037")</f>
        <v>au_473037</v>
      </c>
      <c r="B138">
        <v>0.5</v>
      </c>
      <c r="C138">
        <v>0</v>
      </c>
      <c r="D138">
        <v>0.83333333333333326</v>
      </c>
      <c r="E138">
        <v>0.25</v>
      </c>
      <c r="F138">
        <v>0.83333333333333326</v>
      </c>
      <c r="G138">
        <v>0.25</v>
      </c>
    </row>
    <row r="139" spans="1:7" x14ac:dyDescent="0.15">
      <c r="A139" t="str">
        <f>HYPERLINK("./new_k5/query_cmdrels_weight_analyze/0.2_0.4_0.4/au_48362.xlsx","au_48362")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HYPERLINK("./new_k5/query_cmdrels_weight_analyze/0.2_0.4_0.4/au_488435.xlsx","au_488435")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HYPERLINK("./new_k5/query_cmdrels_weight_analyze/0.2_0.4_0.4/au_493826.xlsx","au_493826")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HYPERLINK("./new_k5/query_cmdrels_weight_analyze/0.2_0.4_0.4/au_502110.xlsx","au_502110")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HYPERLINK("./new_k5/query_cmdrels_weight_analyze/0.2_0.4_0.4/au_50344.xlsx","au_50344")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HYPERLINK("./new_k5/query_cmdrels_weight_analyze/0.2_0.4_0.4/au_511467.xlsx","au_511467")</f>
        <v>au_511467</v>
      </c>
      <c r="B144">
        <v>0</v>
      </c>
      <c r="C144">
        <v>0.16666666666666671</v>
      </c>
      <c r="D144">
        <v>0.19444444444444439</v>
      </c>
      <c r="E144">
        <v>0.33333333333333331</v>
      </c>
      <c r="F144">
        <v>0.19444444444444439</v>
      </c>
      <c r="G144">
        <v>0.45833333333333331</v>
      </c>
    </row>
    <row r="145" spans="1:7" x14ac:dyDescent="0.15">
      <c r="A145" t="str">
        <f>HYPERLINK("./new_k5/query_cmdrels_weight_analyze/0.2_0.4_0.4/au_513046.xlsx","au_513046")</f>
        <v>au_513046</v>
      </c>
      <c r="B145">
        <v>0.25</v>
      </c>
      <c r="C145">
        <v>0</v>
      </c>
      <c r="D145">
        <v>0.5</v>
      </c>
      <c r="E145">
        <v>8.3333333333333329E-2</v>
      </c>
      <c r="F145">
        <v>0.5</v>
      </c>
      <c r="G145">
        <v>0.35833333333333328</v>
      </c>
    </row>
    <row r="146" spans="1:7" x14ac:dyDescent="0.15">
      <c r="A146" t="str">
        <f>HYPERLINK("./new_k5/query_cmdrels_weight_analyze/0.2_0.4_0.4/au_517354.xlsx","au_517354")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0.34523809523809518</v>
      </c>
    </row>
    <row r="147" spans="1:7" x14ac:dyDescent="0.15">
      <c r="A147" t="str">
        <f>HYPERLINK("./new_k5/query_cmdrels_weight_analyze/0.2_0.4_0.4/au_522431.xlsx","au_522431")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0.3833333333333333</v>
      </c>
    </row>
    <row r="148" spans="1:7" x14ac:dyDescent="0.15">
      <c r="A148" t="str">
        <f>HYPERLINK("./new_k5/query_cmdrels_weight_analyze/0.2_0.4_0.4/au_52773.xlsx","au_52773")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0.04</v>
      </c>
    </row>
    <row r="149" spans="1:7" x14ac:dyDescent="0.15">
      <c r="A149" t="str">
        <f>HYPERLINK("./new_k5/query_cmdrels_weight_analyze/0.2_0.4_0.4/au_528411.xlsx","au_528411")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HYPERLINK("./new_k5/query_cmdrels_weight_analyze/0.2_0.4_0.4/au_53263.xlsx","au_53263")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1</v>
      </c>
    </row>
    <row r="151" spans="1:7" x14ac:dyDescent="0.15">
      <c r="A151" t="str">
        <f>HYPERLINK("./new_k5/query_cmdrels_weight_analyze/0.2_0.4_0.4/au_53444.xlsx","au_53444")</f>
        <v>au_53444</v>
      </c>
      <c r="B151">
        <v>0.5</v>
      </c>
      <c r="C151">
        <v>0</v>
      </c>
      <c r="D151">
        <v>0.5</v>
      </c>
      <c r="E151">
        <v>0</v>
      </c>
      <c r="F151">
        <v>0.5</v>
      </c>
      <c r="G151">
        <v>0.125</v>
      </c>
    </row>
    <row r="152" spans="1:7" x14ac:dyDescent="0.15">
      <c r="A152" t="str">
        <f>HYPERLINK("./new_k5/query_cmdrels_weight_analyze/0.2_0.4_0.4/au_538208.xlsx","au_538208")</f>
        <v>au_538208</v>
      </c>
      <c r="B152">
        <v>0.125</v>
      </c>
      <c r="C152">
        <v>0.125</v>
      </c>
      <c r="D152">
        <v>0.375</v>
      </c>
      <c r="E152">
        <v>0.25</v>
      </c>
      <c r="F152">
        <v>0.5</v>
      </c>
      <c r="G152">
        <v>0.44374999999999998</v>
      </c>
    </row>
    <row r="153" spans="1:7" x14ac:dyDescent="0.15">
      <c r="A153" t="str">
        <f>HYPERLINK("./new_k5/query_cmdrels_weight_analyze/0.2_0.4_0.4/au_53822.xlsx","au_53822")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HYPERLINK("./new_k5/query_cmdrels_weight_analyze/0.2_0.4_0.4/au_539243.xlsx","au_539243")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0.33333333333333331</v>
      </c>
    </row>
    <row r="155" spans="1:7" x14ac:dyDescent="0.15">
      <c r="A155" t="str">
        <f>HYPERLINK("./new_k5/query_cmdrels_weight_analyze/0.2_0.4_0.4/au_558280.xlsx","au_558280")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HYPERLINK("./new_k5/query_cmdrels_weight_analyze/0.2_0.4_0.4/au_558669.xlsx","au_558669")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HYPERLINK("./new_k5/query_cmdrels_weight_analyze/0.2_0.4_0.4/au_55868.xlsx","au_55868")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HYPERLINK("./new_k5/query_cmdrels_weight_analyze/0.2_0.4_0.4/au_561.xlsx","au_561")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0.5</v>
      </c>
    </row>
    <row r="159" spans="1:7" x14ac:dyDescent="0.15">
      <c r="A159" t="str">
        <f>HYPERLINK("./new_k5/query_cmdrels_weight_analyze/0.2_0.4_0.4/au_564567.xlsx","au_564567")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HYPERLINK("./new_k5/query_cmdrels_weight_analyze/0.2_0.4_0.4/au_57994.xlsx","au_57994")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0.23809523809523811</v>
      </c>
      <c r="F160">
        <v>0.5714285714285714</v>
      </c>
      <c r="G160">
        <v>0.45952380952380961</v>
      </c>
    </row>
    <row r="161" spans="1:7" x14ac:dyDescent="0.15">
      <c r="A161" t="str">
        <f>HYPERLINK("./new_k5/query_cmdrels_weight_analyze/0.2_0.4_0.4/au_589210.xlsx","au_589210")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0.375</v>
      </c>
    </row>
    <row r="162" spans="1:7" x14ac:dyDescent="0.15">
      <c r="A162" t="str">
        <f>HYPERLINK("./new_k5/query_cmdrels_weight_analyze/0.2_0.4_0.4/au_5911.xlsx","au_5911")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HYPERLINK("./new_k5/query_cmdrels_weight_analyze/0.2_0.4_0.4/au_59356.xlsx","au_59356")</f>
        <v>au_59356</v>
      </c>
      <c r="B163">
        <v>0</v>
      </c>
      <c r="C163">
        <v>0</v>
      </c>
      <c r="D163">
        <v>0.16666666666666671</v>
      </c>
      <c r="E163">
        <v>0</v>
      </c>
      <c r="F163">
        <v>0.16666666666666671</v>
      </c>
      <c r="G163">
        <v>0</v>
      </c>
    </row>
    <row r="164" spans="1:7" x14ac:dyDescent="0.15">
      <c r="A164" t="str">
        <f>HYPERLINK("./new_k5/query_cmdrels_weight_analyze/0.2_0.4_0.4/au_609850.xlsx","au_609850")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HYPERLINK("./new_k5/query_cmdrels_weight_analyze/0.2_0.4_0.4/au_61408.xlsx","au_61408")</f>
        <v>au_61408</v>
      </c>
      <c r="B165">
        <v>0</v>
      </c>
      <c r="C165">
        <v>0.33333333333333331</v>
      </c>
      <c r="D165">
        <v>0.16666666666666671</v>
      </c>
      <c r="E165">
        <v>0.55555555555555547</v>
      </c>
      <c r="F165">
        <v>0.16666666666666671</v>
      </c>
      <c r="G165">
        <v>0.55555555555555547</v>
      </c>
    </row>
    <row r="166" spans="1:7" x14ac:dyDescent="0.15">
      <c r="A166" t="str">
        <f>HYPERLINK("./new_k5/query_cmdrels_weight_analyze/0.2_0.4_0.4/au_617850.xlsx","au_617850")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HYPERLINK("./new_k5/query_cmdrels_weight_analyze/0.2_0.4_0.4/au_62073.xlsx","au_62073")</f>
        <v>au_62073</v>
      </c>
      <c r="B167">
        <v>0</v>
      </c>
      <c r="C167">
        <v>0.2</v>
      </c>
      <c r="D167">
        <v>0.23333333333333331</v>
      </c>
      <c r="E167">
        <v>0.33333333333333331</v>
      </c>
      <c r="F167">
        <v>0.23333333333333331</v>
      </c>
      <c r="G167">
        <v>0.45333333333333331</v>
      </c>
    </row>
    <row r="168" spans="1:7" x14ac:dyDescent="0.15">
      <c r="A168" t="str">
        <f>HYPERLINK("./new_k5/query_cmdrels_weight_analyze/0.2_0.4_0.4/au_620930.xlsx","au_620930")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0.48333333333333328</v>
      </c>
    </row>
    <row r="169" spans="1:7" x14ac:dyDescent="0.15">
      <c r="A169" t="str">
        <f>HYPERLINK("./new_k5/query_cmdrels_weight_analyze/0.2_0.4_0.4/au_62492.xlsx","au_62492")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HYPERLINK("./new_k5/query_cmdrels_weight_analyze/0.2_0.4_0.4/au_626078.xlsx","au_626078")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HYPERLINK("./new_k5/query_cmdrels_weight_analyze/0.2_0.4_0.4/au_636944.xlsx","au_636944")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HYPERLINK("./new_k5/query_cmdrels_weight_analyze/0.2_0.4_0.4/au_648603.xlsx","au_648603")</f>
        <v>au_648603</v>
      </c>
      <c r="B172">
        <v>0.25</v>
      </c>
      <c r="C172">
        <v>0.25</v>
      </c>
      <c r="D172">
        <v>0.25</v>
      </c>
      <c r="E172">
        <v>0.25</v>
      </c>
      <c r="F172">
        <v>0.25</v>
      </c>
      <c r="G172">
        <v>0.52500000000000002</v>
      </c>
    </row>
    <row r="173" spans="1:7" x14ac:dyDescent="0.15">
      <c r="A173" t="str">
        <f>HYPERLINK("./new_k5/query_cmdrels_weight_analyze/0.2_0.4_0.4/au_65331.xlsx","au_65331")</f>
        <v>au_65331</v>
      </c>
      <c r="B173">
        <v>0</v>
      </c>
      <c r="C173">
        <v>0.16666666666666671</v>
      </c>
      <c r="D173">
        <v>8.3333333333333329E-2</v>
      </c>
      <c r="E173">
        <v>0.33333333333333331</v>
      </c>
      <c r="F173">
        <v>0.16666666666666671</v>
      </c>
      <c r="G173">
        <v>0.43333333333333329</v>
      </c>
    </row>
    <row r="174" spans="1:7" x14ac:dyDescent="0.15">
      <c r="A174" t="str">
        <f>HYPERLINK("./new_k5/query_cmdrels_weight_analyze/0.2_0.4_0.4/au_66000.xlsx","au_66000")</f>
        <v>au_66000</v>
      </c>
      <c r="B174">
        <v>0</v>
      </c>
      <c r="C174">
        <v>0</v>
      </c>
      <c r="D174">
        <v>0</v>
      </c>
      <c r="E174">
        <v>6.6666666666666666E-2</v>
      </c>
      <c r="F174">
        <v>0</v>
      </c>
      <c r="G174">
        <v>0.16666666666666671</v>
      </c>
    </row>
    <row r="175" spans="1:7" x14ac:dyDescent="0.15">
      <c r="A175" t="str">
        <f>HYPERLINK("./new_k5/query_cmdrels_weight_analyze/0.2_0.4_0.4/au_660846.xlsx","au_660846")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HYPERLINK("./new_k5/query_cmdrels_weight_analyze/0.2_0.4_0.4/au_662935.xlsx","au_662935")</f>
        <v>au_662935</v>
      </c>
      <c r="B176">
        <v>0.125</v>
      </c>
      <c r="C176">
        <v>0.125</v>
      </c>
      <c r="D176">
        <v>0.125</v>
      </c>
      <c r="E176">
        <v>0.375</v>
      </c>
      <c r="F176">
        <v>0.125</v>
      </c>
      <c r="G176">
        <v>0.375</v>
      </c>
    </row>
    <row r="177" spans="1:7" x14ac:dyDescent="0.15">
      <c r="A177" t="str">
        <f>HYPERLINK("./new_k5/query_cmdrels_weight_analyze/0.2_0.4_0.4/au_67663.xlsx","au_67663")</f>
        <v>au_67663</v>
      </c>
      <c r="B177">
        <v>0</v>
      </c>
      <c r="C177">
        <v>0.25</v>
      </c>
      <c r="D177">
        <v>0.29166666666666657</v>
      </c>
      <c r="E177">
        <v>0.75</v>
      </c>
      <c r="F177">
        <v>0.29166666666666657</v>
      </c>
      <c r="G177">
        <v>0.75</v>
      </c>
    </row>
    <row r="178" spans="1:7" x14ac:dyDescent="0.15">
      <c r="A178" t="str">
        <f>HYPERLINK("./new_k5/query_cmdrels_weight_analyze/0.2_0.4_0.4/au_68028.xlsx","au_68028")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0.42857142857142849</v>
      </c>
      <c r="F178">
        <v>0.37142857142857139</v>
      </c>
      <c r="G178">
        <v>0.42857142857142849</v>
      </c>
    </row>
    <row r="179" spans="1:7" x14ac:dyDescent="0.15">
      <c r="A179" t="str">
        <f>HYPERLINK("./new_k5/query_cmdrels_weight_analyze/0.2_0.4_0.4/au_681312.xlsx","au_681312")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0.42857142857142849</v>
      </c>
      <c r="F179">
        <v>0.42857142857142849</v>
      </c>
      <c r="G179">
        <v>0.5714285714285714</v>
      </c>
    </row>
    <row r="180" spans="1:7" x14ac:dyDescent="0.15">
      <c r="A180" t="str">
        <f>HYPERLINK("./new_k5/query_cmdrels_weight_analyze/0.2_0.4_0.4/au_686239.xlsx","au_686239")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HYPERLINK("./new_k5/query_cmdrels_weight_analyze/0.2_0.4_0.4/au_68809.xlsx","au_68809")</f>
        <v>au_68809</v>
      </c>
      <c r="B181">
        <v>0.125</v>
      </c>
      <c r="C181">
        <v>0.125</v>
      </c>
      <c r="D181">
        <v>0.20833333333333329</v>
      </c>
      <c r="E181">
        <v>0.125</v>
      </c>
      <c r="F181">
        <v>0.28333333333333333</v>
      </c>
      <c r="G181">
        <v>0.1875</v>
      </c>
    </row>
    <row r="182" spans="1:7" x14ac:dyDescent="0.15">
      <c r="A182" t="str">
        <f>HYPERLINK("./new_k5/query_cmdrels_weight_analyze/0.2_0.4_0.4/au_69556.xlsx","au_69556")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HYPERLINK("./new_k5/query_cmdrels_weight_analyze/0.2_0.4_0.4/au_698993.xlsx","au_698993")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HYPERLINK("./new_k5/query_cmdrels_weight_analyze/0.2_0.4_0.4/au_707881.xlsx","au_707881")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HYPERLINK("./new_k5/query_cmdrels_weight_analyze/0.2_0.4_0.4/au_709594.xlsx","au_709594")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HYPERLINK("./new_k5/query_cmdrels_weight_analyze/0.2_0.4_0.4/au_71309.xlsx","au_71309")</f>
        <v>au_71309</v>
      </c>
      <c r="B186">
        <v>0.125</v>
      </c>
      <c r="C186">
        <v>0.125</v>
      </c>
      <c r="D186">
        <v>0.20833333333333329</v>
      </c>
      <c r="E186">
        <v>0.25</v>
      </c>
      <c r="F186">
        <v>0.20833333333333329</v>
      </c>
      <c r="G186">
        <v>0.34375</v>
      </c>
    </row>
    <row r="187" spans="1:7" x14ac:dyDescent="0.15">
      <c r="A187" t="str">
        <f>HYPERLINK("./new_k5/query_cmdrels_weight_analyze/0.2_0.4_0.4/au_7138.xlsx","au_7138")</f>
        <v>au_7138</v>
      </c>
      <c r="B187">
        <v>0.25</v>
      </c>
      <c r="C187">
        <v>0</v>
      </c>
      <c r="D187">
        <v>0.75</v>
      </c>
      <c r="E187">
        <v>8.3333333333333329E-2</v>
      </c>
      <c r="F187">
        <v>0.75</v>
      </c>
      <c r="G187">
        <v>8.3333333333333329E-2</v>
      </c>
    </row>
    <row r="188" spans="1:7" x14ac:dyDescent="0.15">
      <c r="A188" t="str">
        <f>HYPERLINK("./new_k5/query_cmdrels_weight_analyze/0.2_0.4_0.4/au_72549.xlsx","au_72549")</f>
        <v>au_72549</v>
      </c>
      <c r="B188">
        <v>0</v>
      </c>
      <c r="C188">
        <v>0</v>
      </c>
      <c r="D188">
        <v>0</v>
      </c>
      <c r="E188">
        <v>8.3333333333333329E-2</v>
      </c>
      <c r="F188">
        <v>0</v>
      </c>
      <c r="G188">
        <v>8.3333333333333329E-2</v>
      </c>
    </row>
    <row r="189" spans="1:7" x14ac:dyDescent="0.15">
      <c r="A189" t="str">
        <f>HYPERLINK("./new_k5/query_cmdrels_weight_analyze/0.2_0.4_0.4/au_740805.xlsx","au_740805")</f>
        <v>au_740805</v>
      </c>
      <c r="B189">
        <v>0.25</v>
      </c>
      <c r="C189">
        <v>0</v>
      </c>
      <c r="D189">
        <v>0.41666666666666657</v>
      </c>
      <c r="E189">
        <v>0.125</v>
      </c>
      <c r="F189">
        <v>0.41666666666666657</v>
      </c>
      <c r="G189">
        <v>0.22500000000000001</v>
      </c>
    </row>
    <row r="190" spans="1:7" x14ac:dyDescent="0.15">
      <c r="A190" t="str">
        <f>HYPERLINK("./new_k5/query_cmdrels_weight_analyze/0.2_0.4_0.4/au_760796.xlsx","au_760796")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HYPERLINK("./new_k5/query_cmdrels_weight_analyze/0.2_0.4_0.4/au_762846.xlsx","au_762846")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0.43333333333333329</v>
      </c>
    </row>
    <row r="192" spans="1:7" x14ac:dyDescent="0.15">
      <c r="A192" t="str">
        <f>HYPERLINK("./new_k5/query_cmdrels_weight_analyze/0.2_0.4_0.4/au_767786.xlsx","au_767786")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0.8</v>
      </c>
    </row>
    <row r="193" spans="1:7" x14ac:dyDescent="0.15">
      <c r="A193" t="str">
        <f>HYPERLINK("./new_k5/query_cmdrels_weight_analyze/0.2_0.4_0.4/au_778906.xlsx","au_778906")</f>
        <v>au_778906</v>
      </c>
      <c r="B193">
        <v>0.2</v>
      </c>
      <c r="C193">
        <v>0.2</v>
      </c>
      <c r="D193">
        <v>0.33333333333333331</v>
      </c>
      <c r="E193">
        <v>0.6</v>
      </c>
      <c r="F193">
        <v>0.33333333333333331</v>
      </c>
      <c r="G193">
        <v>0.6</v>
      </c>
    </row>
    <row r="194" spans="1:7" x14ac:dyDescent="0.15">
      <c r="A194" t="str">
        <f>HYPERLINK("./new_k5/query_cmdrels_weight_analyze/0.2_0.4_0.4/au_818929.xlsx","au_818929")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0.42</v>
      </c>
    </row>
    <row r="195" spans="1:7" x14ac:dyDescent="0.15">
      <c r="A195" t="str">
        <f>HYPERLINK("./new_k5/query_cmdrels_weight_analyze/0.2_0.4_0.4/au_844876.xlsx","au_844876")</f>
        <v>au_844876</v>
      </c>
      <c r="B195">
        <v>0.5</v>
      </c>
      <c r="C195">
        <v>0.5</v>
      </c>
      <c r="D195">
        <v>0.5</v>
      </c>
      <c r="E195">
        <v>1</v>
      </c>
      <c r="F195">
        <v>0.5</v>
      </c>
      <c r="G195">
        <v>1</v>
      </c>
    </row>
    <row r="196" spans="1:7" x14ac:dyDescent="0.15">
      <c r="A196" t="str">
        <f>HYPERLINK("./new_k5/query_cmdrels_weight_analyze/0.2_0.4_0.4/au_85318.xlsx","au_85318")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0.4</v>
      </c>
    </row>
    <row r="197" spans="1:7" x14ac:dyDescent="0.15">
      <c r="A197" t="str">
        <f>HYPERLINK("./new_k5/query_cmdrels_weight_analyze/0.2_0.4_0.4/au_854332.xlsx","au_854332")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HYPERLINK("./new_k5/query_cmdrels_weight_analyze/0.2_0.4_0.4/au_854373.xlsx","au_854373")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HYPERLINK("./new_k5/query_cmdrels_weight_analyze/0.2_0.4_0.4/au_86843.xlsx","au_86843")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HYPERLINK("./new_k5/query_cmdrels_weight_analyze/0.2_0.4_0.4/au_88108.xlsx","au_88108")</f>
        <v>au_88108</v>
      </c>
      <c r="B200">
        <v>0</v>
      </c>
      <c r="C200">
        <v>0</v>
      </c>
      <c r="D200">
        <v>0.1</v>
      </c>
      <c r="E200">
        <v>0</v>
      </c>
      <c r="F200">
        <v>0.1</v>
      </c>
      <c r="G200">
        <v>0.05</v>
      </c>
    </row>
    <row r="201" spans="1:7" x14ac:dyDescent="0.15">
      <c r="A201" t="str">
        <f>HYPERLINK("./new_k5/query_cmdrels_weight_analyze/0.2_0.4_0.4/au_90214.xlsx","au_90214")</f>
        <v>au_90214</v>
      </c>
      <c r="B201">
        <v>0</v>
      </c>
      <c r="C201">
        <v>0</v>
      </c>
      <c r="D201">
        <v>0.16666666666666671</v>
      </c>
      <c r="E201">
        <v>0.1111111111111111</v>
      </c>
      <c r="F201">
        <v>0.16666666666666671</v>
      </c>
      <c r="G201">
        <v>0.24444444444444449</v>
      </c>
    </row>
    <row r="202" spans="1:7" x14ac:dyDescent="0.15">
      <c r="A202" t="str">
        <f>HYPERLINK("./new_k5/query_cmdrels_weight_analyze/0.2_0.4_0.4/au_90339.xlsx","au_90339")</f>
        <v>au_90339</v>
      </c>
      <c r="B202">
        <v>0</v>
      </c>
      <c r="C202">
        <v>0</v>
      </c>
      <c r="D202">
        <v>4.7619047619047623E-2</v>
      </c>
      <c r="E202">
        <v>0.16666666666666671</v>
      </c>
      <c r="F202">
        <v>0.2047619047619047</v>
      </c>
      <c r="G202">
        <v>0.16666666666666671</v>
      </c>
    </row>
    <row r="203" spans="1:7" x14ac:dyDescent="0.15">
      <c r="A203" t="str">
        <f>HYPERLINK("./new_k5/query_cmdrels_weight_analyze/0.2_0.4_0.4/au_91286.xlsx","au_91286")</f>
        <v>au_91286</v>
      </c>
      <c r="B203">
        <v>0.5</v>
      </c>
      <c r="C203">
        <v>0</v>
      </c>
      <c r="D203">
        <v>0.5</v>
      </c>
      <c r="E203">
        <v>0.25</v>
      </c>
      <c r="F203">
        <v>0.5</v>
      </c>
      <c r="G203">
        <v>0.25</v>
      </c>
    </row>
    <row r="204" spans="1:7" x14ac:dyDescent="0.15">
      <c r="A204" t="str">
        <f>HYPERLINK("./new_k5/query_cmdrels_weight_analyze/0.2_0.4_0.4/au_9135.xlsx","au_9135")</f>
        <v>au_9135</v>
      </c>
      <c r="B204">
        <v>0.1</v>
      </c>
      <c r="C204">
        <v>0.1</v>
      </c>
      <c r="D204">
        <v>0.16666666666666671</v>
      </c>
      <c r="E204">
        <v>0.16666666666666671</v>
      </c>
      <c r="F204">
        <v>0.24166666666666661</v>
      </c>
      <c r="G204">
        <v>0.32166666666666671</v>
      </c>
    </row>
    <row r="205" spans="1:7" x14ac:dyDescent="0.15">
      <c r="A205" t="str">
        <f>HYPERLINK("./new_k5/query_cmdrels_weight_analyze/0.2_0.4_0.4/au_935569.xlsx","au_935569")</f>
        <v>au_935569</v>
      </c>
      <c r="B205">
        <v>0.14285714285714279</v>
      </c>
      <c r="C205">
        <v>0.14285714285714279</v>
      </c>
      <c r="D205">
        <v>0.42857142857142849</v>
      </c>
      <c r="E205">
        <v>0.23809523809523811</v>
      </c>
      <c r="F205">
        <v>0.54285714285714282</v>
      </c>
      <c r="G205">
        <v>0.23809523809523811</v>
      </c>
    </row>
    <row r="206" spans="1:7" x14ac:dyDescent="0.15">
      <c r="A206" t="str">
        <f>HYPERLINK("./new_k5/query_cmdrels_weight_analyze/0.2_0.4_0.4/au_97936.xlsx","au_97936")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HYPERLINK("./new_k5/query_cmdrels_weight_analyze/0.2_0.4_0.4/so_10235778.xlsx","so_10235778")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HYPERLINK("./new_k5/query_cmdrels_weight_analyze/0.2_0.4_0.4/so_1045910.xlsx","so_1045910")</f>
        <v>so_1045910</v>
      </c>
      <c r="B208">
        <v>0.25</v>
      </c>
      <c r="C208">
        <v>0</v>
      </c>
      <c r="D208">
        <v>0.25</v>
      </c>
      <c r="E208">
        <v>0.29166666666666657</v>
      </c>
      <c r="F208">
        <v>0.25</v>
      </c>
      <c r="G208">
        <v>0.29166666666666657</v>
      </c>
    </row>
    <row r="209" spans="1:7" x14ac:dyDescent="0.15">
      <c r="A209" t="str">
        <f>HYPERLINK("./new_k5/query_cmdrels_weight_analyze/0.2_0.4_0.4/so_10557360.xlsx","so_10557360")</f>
        <v>so_10557360</v>
      </c>
      <c r="B209">
        <v>0</v>
      </c>
      <c r="C209">
        <v>0</v>
      </c>
      <c r="D209">
        <v>0</v>
      </c>
      <c r="E209">
        <v>0.1</v>
      </c>
      <c r="F209">
        <v>0</v>
      </c>
      <c r="G209">
        <v>0.1</v>
      </c>
    </row>
    <row r="210" spans="1:7" x14ac:dyDescent="0.15">
      <c r="A210" t="str">
        <f>HYPERLINK("./new_k5/query_cmdrels_weight_analyze/0.2_0.4_0.4/so_1058047.xlsx","so_1058047")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0.375</v>
      </c>
    </row>
    <row r="211" spans="1:7" x14ac:dyDescent="0.15">
      <c r="A211" t="str">
        <f>HYPERLINK("./new_k5/query_cmdrels_weight_analyze/0.2_0.4_0.4/so_10829402.xlsx","so_10829402")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HYPERLINK("./new_k5/query_cmdrels_weight_analyze/0.2_0.4_0.4/so_1088098.xlsx","so_1088098")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0.25</v>
      </c>
    </row>
    <row r="213" spans="1:7" x14ac:dyDescent="0.15">
      <c r="A213" t="str">
        <f>HYPERLINK("./new_k5/query_cmdrels_weight_analyze/0.2_0.4_0.4/so_10990949.xlsx","so_10990949")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0.7</v>
      </c>
    </row>
    <row r="214" spans="1:7" x14ac:dyDescent="0.15">
      <c r="A214" t="str">
        <f>HYPERLINK("./new_k5/query_cmdrels_weight_analyze/0.2_0.4_0.4/so_11211705.xlsx","so_11211705")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HYPERLINK("./new_k5/query_cmdrels_weight_analyze/0.2_0.4_0.4/so_112932.xlsx","so_112932")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HYPERLINK("./new_k5/query_cmdrels_weight_analyze/0.2_0.4_0.4/so_11392189.xlsx","so_11392189")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8.3333333333333329E-2</v>
      </c>
    </row>
    <row r="217" spans="1:7" x14ac:dyDescent="0.15">
      <c r="A217" t="str">
        <f>HYPERLINK("./new_k5/query_cmdrels_weight_analyze/0.2_0.4_0.4/so_1183183.xlsx","so_1183183")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HYPERLINK("./new_k5/query_cmdrels_weight_analyze/0.2_0.4_0.4/so_1194882.xlsx","so_1194882")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HYPERLINK("./new_k5/query_cmdrels_weight_analyze/0.2_0.4_0.4/so_12120935.xlsx","so_12120935")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HYPERLINK("./new_k5/query_cmdrels_weight_analyze/0.2_0.4_0.4/so_12313384.xlsx","so_12313384")</f>
        <v>so_12313384</v>
      </c>
      <c r="B220">
        <v>0</v>
      </c>
      <c r="C220">
        <v>0.33333333333333331</v>
      </c>
      <c r="D220">
        <v>0.16666666666666671</v>
      </c>
      <c r="E220">
        <v>0.66666666666666663</v>
      </c>
      <c r="F220">
        <v>0.16666666666666671</v>
      </c>
      <c r="G220">
        <v>0.66666666666666663</v>
      </c>
    </row>
    <row r="221" spans="1:7" x14ac:dyDescent="0.15">
      <c r="A221" t="str">
        <f>HYPERLINK("./new_k5/query_cmdrels_weight_analyze/0.2_0.4_0.4/so_12392598.xlsx","so_12392598")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0.42857142857142849</v>
      </c>
      <c r="F221">
        <v>0.2857142857142857</v>
      </c>
      <c r="G221">
        <v>0.54285714285714282</v>
      </c>
    </row>
    <row r="222" spans="1:7" x14ac:dyDescent="0.15">
      <c r="A222" t="str">
        <f>HYPERLINK("./new_k5/query_cmdrels_weight_analyze/0.2_0.4_0.4/so_1241801.xlsx","so_1241801")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HYPERLINK("./new_k5/query_cmdrels_weight_analyze/0.2_0.4_0.4/so_12522269.xlsx","so_12522269")</f>
        <v>so_12522269</v>
      </c>
      <c r="B223">
        <v>0.2</v>
      </c>
      <c r="C223">
        <v>0</v>
      </c>
      <c r="D223">
        <v>0.2</v>
      </c>
      <c r="E223">
        <v>0.1</v>
      </c>
      <c r="F223">
        <v>0.28000000000000003</v>
      </c>
      <c r="G223">
        <v>0.1</v>
      </c>
    </row>
    <row r="224" spans="1:7" x14ac:dyDescent="0.15">
      <c r="A224" t="str">
        <f>HYPERLINK("./new_k5/query_cmdrels_weight_analyze/0.2_0.4_0.4/so_1293907.xlsx","so_1293907")</f>
        <v>so_1293907</v>
      </c>
      <c r="B224">
        <v>0</v>
      </c>
      <c r="C224">
        <v>0.33333333333333331</v>
      </c>
      <c r="D224">
        <v>0</v>
      </c>
      <c r="E224">
        <v>0.55555555555555547</v>
      </c>
      <c r="F224">
        <v>8.3333333333333329E-2</v>
      </c>
      <c r="G224">
        <v>0.75555555555555554</v>
      </c>
    </row>
    <row r="225" spans="1:7" x14ac:dyDescent="0.15">
      <c r="A225" t="str">
        <f>HYPERLINK("./new_k5/query_cmdrels_weight_analyze/0.2_0.4_0.4/so_13428910.xlsx","so_13428910")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HYPERLINK("./new_k5/query_cmdrels_weight_analyze/0.2_0.4_0.4/so_135688.xlsx","so_135688")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HYPERLINK("./new_k5/query_cmdrels_weight_analyze/0.2_0.4_0.4/so_13778273.xlsx","so_13778273")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HYPERLINK("./new_k5/query_cmdrels_weight_analyze/0.2_0.4_0.4/so_1405611.xlsx","so_1405611")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</v>
      </c>
      <c r="F228">
        <v>0.33333333333333331</v>
      </c>
      <c r="G228">
        <v>8.3333333333333329E-2</v>
      </c>
    </row>
    <row r="229" spans="1:7" x14ac:dyDescent="0.15">
      <c r="A229" t="str">
        <f>HYPERLINK("./new_k5/query_cmdrels_weight_analyze/0.2_0.4_0.4/so_14300794.xlsx","so_14300794")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HYPERLINK("./new_k5/query_cmdrels_weight_analyze/0.2_0.4_0.4/so_143791.xlsx","so_143791")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HYPERLINK("./new_k5/query_cmdrels_weight_analyze/0.2_0.4_0.4/so_14750650.xlsx","so_14750650")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0.05</v>
      </c>
    </row>
    <row r="232" spans="1:7" x14ac:dyDescent="0.15">
      <c r="A232" t="str">
        <f>HYPERLINK("./new_k5/query_cmdrels_weight_analyze/0.2_0.4_0.4/so_14978411.xlsx","so_14978411")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HYPERLINK("./new_k5/query_cmdrels_weight_analyze/0.2_0.4_0.4/so_15236308.xlsx","so_15236308")</f>
        <v>so_15236308</v>
      </c>
      <c r="B233">
        <v>0.25</v>
      </c>
      <c r="C233">
        <v>0.25</v>
      </c>
      <c r="D233">
        <v>0.25</v>
      </c>
      <c r="E233">
        <v>0.5</v>
      </c>
      <c r="F233">
        <v>0.25</v>
      </c>
      <c r="G233">
        <v>0.6875</v>
      </c>
    </row>
    <row r="234" spans="1:7" x14ac:dyDescent="0.15">
      <c r="A234" t="str">
        <f>HYPERLINK("./new_k5/query_cmdrels_weight_analyze/0.2_0.4_0.4/so_15286947.xlsx","so_15286947")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HYPERLINK("./new_k5/query_cmdrels_weight_analyze/0.2_0.4_0.4/so_15402770.xlsx","so_15402770")</f>
        <v>so_15402770</v>
      </c>
      <c r="B235">
        <v>0</v>
      </c>
      <c r="C235">
        <v>0.16666666666666671</v>
      </c>
      <c r="D235">
        <v>0.19444444444444439</v>
      </c>
      <c r="E235">
        <v>0.27777777777777768</v>
      </c>
      <c r="F235">
        <v>0.19444444444444439</v>
      </c>
      <c r="G235">
        <v>0.40277777777777768</v>
      </c>
    </row>
    <row r="236" spans="1:7" x14ac:dyDescent="0.15">
      <c r="A236" t="str">
        <f>HYPERLINK("./new_k5/query_cmdrels_weight_analyze/0.2_0.4_0.4/so_1570262.xlsx","so_1570262")</f>
        <v>so_1570262</v>
      </c>
      <c r="B236">
        <v>0</v>
      </c>
      <c r="C236">
        <v>0</v>
      </c>
      <c r="D236">
        <v>0</v>
      </c>
      <c r="E236">
        <v>6.6666666666666666E-2</v>
      </c>
      <c r="F236">
        <v>0</v>
      </c>
      <c r="G236">
        <v>0.1466666666666667</v>
      </c>
    </row>
    <row r="237" spans="1:7" x14ac:dyDescent="0.15">
      <c r="A237" t="str">
        <f>HYPERLINK("./new_k5/query_cmdrels_weight_analyze/0.2_0.4_0.4/so_1583219.xlsx","so_1583219")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HYPERLINK("./new_k5/query_cmdrels_weight_analyze/0.2_0.4_0.4/so_15872543.xlsx","so_15872543")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HYPERLINK("./new_k5/query_cmdrels_weight_analyze/0.2_0.4_0.4/so_16038087.xlsx","so_16038087")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0.2857142857142857</v>
      </c>
      <c r="F239">
        <v>0.2857142857142857</v>
      </c>
      <c r="G239">
        <v>0.2857142857142857</v>
      </c>
    </row>
    <row r="240" spans="1:7" x14ac:dyDescent="0.15">
      <c r="A240" t="str">
        <f>HYPERLINK("./new_k5/query_cmdrels_weight_analyze/0.2_0.4_0.4/so_16212656.xlsx","so_16212656")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HYPERLINK("./new_k5/query_cmdrels_weight_analyze/0.2_0.4_0.4/so_16575419.xlsx","so_16575419")</f>
        <v>so_16575419</v>
      </c>
      <c r="B241">
        <v>0.25</v>
      </c>
      <c r="C241">
        <v>0.25</v>
      </c>
      <c r="D241">
        <v>0.25</v>
      </c>
      <c r="E241">
        <v>0.75</v>
      </c>
      <c r="F241">
        <v>0.25</v>
      </c>
      <c r="G241">
        <v>0.75</v>
      </c>
    </row>
    <row r="242" spans="1:7" x14ac:dyDescent="0.15">
      <c r="A242" t="str">
        <f>HYPERLINK("./new_k5/query_cmdrels_weight_analyze/0.2_0.4_0.4/so_17582768.xlsx","so_17582768")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8.3333333333333329E-2</v>
      </c>
    </row>
    <row r="243" spans="1:7" x14ac:dyDescent="0.15">
      <c r="A243" t="str">
        <f>HYPERLINK("./new_k5/query_cmdrels_weight_analyze/0.2_0.4_0.4/so_17607612.xlsx","so_17607612")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HYPERLINK("./new_k5/query_cmdrels_weight_analyze/0.2_0.4_0.4/so_17829785.xlsx","so_17829785")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HYPERLINK("./new_k5/query_cmdrels_weight_analyze/0.2_0.4_0.4/so_1839841.xlsx","so_1839841")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HYPERLINK("./new_k5/query_cmdrels_weight_analyze/0.2_0.4_0.4/so_18468716.xlsx","so_18468716")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0.46666666666666662</v>
      </c>
    </row>
    <row r="247" spans="1:7" x14ac:dyDescent="0.15">
      <c r="A247" t="str">
        <f>HYPERLINK("./new_k5/query_cmdrels_weight_analyze/0.2_0.4_0.4/so_19196105.xlsx","so_19196105")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0.19166666666666671</v>
      </c>
    </row>
    <row r="248" spans="1:7" x14ac:dyDescent="0.15">
      <c r="A248" t="str">
        <f>HYPERLINK("./new_k5/query_cmdrels_weight_analyze/0.2_0.4_0.4/so_19482123.xlsx","so_19482123")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HYPERLINK("./new_k5/query_cmdrels_weight_analyze/0.2_0.4_0.4/so_1975849.xlsx","so_1975849")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HYPERLINK("./new_k5/query_cmdrels_weight_analyze/0.2_0.4_0.4/so_212528.xlsx","so_212528")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0.45833333333333331</v>
      </c>
    </row>
    <row r="251" spans="1:7" x14ac:dyDescent="0.15">
      <c r="A251" t="str">
        <f>HYPERLINK("./new_k5/query_cmdrels_weight_analyze/0.2_0.4_0.4/so_21620406.xlsx","so_21620406")</f>
        <v>so_21620406</v>
      </c>
      <c r="B251">
        <v>0</v>
      </c>
      <c r="C251">
        <v>0</v>
      </c>
      <c r="D251">
        <v>0.1111111111111111</v>
      </c>
      <c r="E251">
        <v>0.16666666666666671</v>
      </c>
      <c r="F251">
        <v>0.1111111111111111</v>
      </c>
      <c r="G251">
        <v>0.16666666666666671</v>
      </c>
    </row>
    <row r="252" spans="1:7" x14ac:dyDescent="0.15">
      <c r="A252" t="str">
        <f>HYPERLINK("./new_k5/query_cmdrels_weight_analyze/0.2_0.4_0.4/so_23509348.xlsx","so_23509348")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HYPERLINK("./new_k5/query_cmdrels_weight_analyze/0.2_0.4_0.4/so_24058544.xlsx","so_24058544")</f>
        <v>so_24058544</v>
      </c>
      <c r="B253">
        <v>0.2</v>
      </c>
      <c r="C253">
        <v>0.2</v>
      </c>
      <c r="D253">
        <v>0.2</v>
      </c>
      <c r="E253">
        <v>0.33333333333333331</v>
      </c>
      <c r="F253">
        <v>0.2</v>
      </c>
      <c r="G253">
        <v>0.33333333333333331</v>
      </c>
    </row>
    <row r="254" spans="1:7" x14ac:dyDescent="0.15">
      <c r="A254" t="str">
        <f>HYPERLINK("./new_k5/query_cmdrels_weight_analyze/0.2_0.4_0.4/so_24283097.xlsx","so_24283097")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HYPERLINK("./new_k5/query_cmdrels_weight_analyze/0.2_0.4_0.4/so_26256279.xlsx","so_26256279")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HYPERLINK("./new_k5/query_cmdrels_weight_analyze/0.2_0.4_0.4/so_26331651.xlsx","so_26331651")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HYPERLINK("./new_k5/query_cmdrels_weight_analyze/0.2_0.4_0.4/so_26988262.xlsx","so_26988262")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HYPERLINK("./new_k5/query_cmdrels_weight_analyze/0.2_0.4_0.4/so_27238411.xlsx","so_27238411")</f>
        <v>so_27238411</v>
      </c>
      <c r="B258">
        <v>0.2</v>
      </c>
      <c r="C258">
        <v>0.2</v>
      </c>
      <c r="D258">
        <v>0.6</v>
      </c>
      <c r="E258">
        <v>0.33333333333333331</v>
      </c>
      <c r="F258">
        <v>0.6</v>
      </c>
      <c r="G258">
        <v>0.48333333333333328</v>
      </c>
    </row>
    <row r="259" spans="1:7" x14ac:dyDescent="0.15">
      <c r="A259" t="str">
        <f>HYPERLINK("./new_k5/query_cmdrels_weight_analyze/0.2_0.4_0.4/so_27943059.xlsx","so_27943059")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0.33333333333333331</v>
      </c>
      <c r="F259">
        <v>0.16666666666666671</v>
      </c>
      <c r="G259">
        <v>0.5</v>
      </c>
    </row>
    <row r="260" spans="1:7" x14ac:dyDescent="0.15">
      <c r="A260" t="str">
        <f>HYPERLINK("./new_k5/query_cmdrels_weight_analyze/0.2_0.4_0.4/so_28869004.xlsx","so_28869004")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0.5</v>
      </c>
    </row>
    <row r="261" spans="1:7" x14ac:dyDescent="0.15">
      <c r="A261" t="str">
        <f>HYPERLINK("./new_k5/query_cmdrels_weight_analyze/0.2_0.4_0.4/so_2973624.xlsx","so_2973624")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1</v>
      </c>
      <c r="F261">
        <v>0.66666666666666663</v>
      </c>
      <c r="G261">
        <v>1</v>
      </c>
    </row>
    <row r="262" spans="1:7" x14ac:dyDescent="0.15">
      <c r="A262" t="str">
        <f>HYPERLINK("./new_k5/query_cmdrels_weight_analyze/0.2_0.4_0.4/so_30177455.xlsx","so_30177455")</f>
        <v>so_30177455</v>
      </c>
      <c r="B262">
        <v>0</v>
      </c>
      <c r="C262">
        <v>0</v>
      </c>
      <c r="D262">
        <v>0.16666666666666671</v>
      </c>
      <c r="E262">
        <v>0.1111111111111111</v>
      </c>
      <c r="F262">
        <v>0.16666666666666671</v>
      </c>
      <c r="G262">
        <v>0.1111111111111111</v>
      </c>
    </row>
    <row r="263" spans="1:7" x14ac:dyDescent="0.15">
      <c r="A263" t="str">
        <f>HYPERLINK("./new_k5/query_cmdrels_weight_analyze/0.2_0.4_0.4/so_30251889.xlsx","so_30251889")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0.6791666666666667</v>
      </c>
    </row>
    <row r="264" spans="1:7" x14ac:dyDescent="0.15">
      <c r="A264" t="str">
        <f>HYPERLINK("./new_k5/query_cmdrels_weight_analyze/0.2_0.4_0.4/so_305035.xlsx","so_305035")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HYPERLINK("./new_k5/query_cmdrels_weight_analyze/0.2_0.4_0.4/so_36249744.xlsx","so_36249744")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HYPERLINK("./new_k5/query_cmdrels_weight_analyze/0.2_0.4_0.4/so_3643848.xlsx","so_3643848")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HYPERLINK("./new_k5/query_cmdrels_weight_analyze/0.2_0.4_0.4/so_3667329.xlsx","so_3667329")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HYPERLINK("./new_k5/query_cmdrels_weight_analyze/0.2_0.4_0.4/so_369758.xlsx","so_369758")</f>
        <v>so_369758</v>
      </c>
      <c r="B268">
        <v>0.2</v>
      </c>
      <c r="C268">
        <v>0.2</v>
      </c>
      <c r="D268">
        <v>0.4</v>
      </c>
      <c r="E268">
        <v>0.4</v>
      </c>
      <c r="F268">
        <v>0.4</v>
      </c>
      <c r="G268">
        <v>0.55000000000000004</v>
      </c>
    </row>
    <row r="269" spans="1:7" x14ac:dyDescent="0.15">
      <c r="A269" t="str">
        <f>HYPERLINK("./new_k5/query_cmdrels_weight_analyze/0.2_0.4_0.4/so_3756323.xlsx","so_3756323")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0.75</v>
      </c>
    </row>
    <row r="270" spans="1:7" x14ac:dyDescent="0.15">
      <c r="A270" t="str">
        <f>HYPERLINK("./new_k5/query_cmdrels_weight_analyze/0.2_0.4_0.4/so_3767267.xlsx","so_3767267")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HYPERLINK("./new_k5/query_cmdrels_weight_analyze/0.2_0.4_0.4/so_3833578.xlsx","so_3833578")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HYPERLINK("./new_k5/query_cmdrels_weight_analyze/0.2_0.4_0.4/so_3891076.xlsx","so_3891076")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0.52500000000000002</v>
      </c>
    </row>
    <row r="273" spans="1:7" x14ac:dyDescent="0.15">
      <c r="A273" t="str">
        <f>HYPERLINK("./new_k5/query_cmdrels_weight_analyze/0.2_0.4_0.4/so_3963085.xlsx","so_3963085")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HYPERLINK("./new_k5/query_cmdrels_weight_analyze/0.2_0.4_0.4/so_4325216.xlsx","so_4325216")</f>
        <v>so_4325216</v>
      </c>
      <c r="B274">
        <v>0.5</v>
      </c>
      <c r="C274">
        <v>0.5</v>
      </c>
      <c r="D274">
        <v>0.5</v>
      </c>
      <c r="E274">
        <v>1</v>
      </c>
      <c r="F274">
        <v>0.5</v>
      </c>
      <c r="G274">
        <v>1</v>
      </c>
    </row>
    <row r="275" spans="1:7" x14ac:dyDescent="0.15">
      <c r="A275" t="str">
        <f>HYPERLINK("./new_k5/query_cmdrels_weight_analyze/0.2_0.4_0.4/so_448005.xlsx","so_448005")</f>
        <v>so_448005</v>
      </c>
      <c r="B275">
        <v>1</v>
      </c>
      <c r="C275">
        <v>0</v>
      </c>
      <c r="D275">
        <v>1</v>
      </c>
      <c r="E275">
        <v>0.5</v>
      </c>
      <c r="F275">
        <v>1</v>
      </c>
      <c r="G275">
        <v>0.5</v>
      </c>
    </row>
    <row r="276" spans="1:7" x14ac:dyDescent="0.15">
      <c r="A276" t="str">
        <f>HYPERLINK("./new_k5/query_cmdrels_weight_analyze/0.2_0.4_0.4/so_4921879.xlsx","so_4921879")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HYPERLINK("./new_k5/query_cmdrels_weight_analyze/0.2_0.4_0.4/so_4922943.xlsx","so_4922943")</f>
        <v>so_4922943</v>
      </c>
      <c r="B277">
        <v>0.2</v>
      </c>
      <c r="C277">
        <v>0.2</v>
      </c>
      <c r="D277">
        <v>0.33333333333333331</v>
      </c>
      <c r="E277">
        <v>0.33333333333333331</v>
      </c>
      <c r="F277">
        <v>0.33333333333333331</v>
      </c>
      <c r="G277">
        <v>0.33333333333333331</v>
      </c>
    </row>
    <row r="278" spans="1:7" x14ac:dyDescent="0.15">
      <c r="A278" t="str">
        <f>HYPERLINK("./new_k5/query_cmdrels_weight_analyze/0.2_0.4_0.4/so_5119946.xlsx","so_5119946")</f>
        <v>so_5119946</v>
      </c>
      <c r="B278">
        <v>0.5</v>
      </c>
      <c r="C278">
        <v>0</v>
      </c>
      <c r="D278">
        <v>0.5</v>
      </c>
      <c r="E278">
        <v>0.58333333333333326</v>
      </c>
      <c r="F278">
        <v>0.5</v>
      </c>
      <c r="G278">
        <v>0.58333333333333326</v>
      </c>
    </row>
    <row r="279" spans="1:7" x14ac:dyDescent="0.15">
      <c r="A279" t="str">
        <f>HYPERLINK("./new_k5/query_cmdrels_weight_analyze/0.2_0.4_0.4/so_5164985.xlsx","so_5164985")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HYPERLINK("./new_k5/query_cmdrels_weight_analyze/0.2_0.4_0.4/so_5306153.xlsx","so_5306153")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HYPERLINK("./new_k5/query_cmdrels_weight_analyze/0.2_0.4_0.4/so_5566310.xlsx","so_5566310")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HYPERLINK("./new_k5/query_cmdrels_weight_analyze/0.2_0.4_0.4/so_5927369.xlsx","so_5927369")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HYPERLINK("./new_k5/query_cmdrels_weight_analyze/0.2_0.4_0.4/so_5947742.xlsx","so_5947742")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HYPERLINK("./new_k5/query_cmdrels_weight_analyze/0.2_0.4_0.4/so_614795.xlsx","so_614795")</f>
        <v>so_614795</v>
      </c>
      <c r="B284">
        <v>0</v>
      </c>
      <c r="C284">
        <v>0</v>
      </c>
      <c r="D284">
        <v>0</v>
      </c>
      <c r="E284">
        <v>0.16666666666666671</v>
      </c>
      <c r="F284">
        <v>0</v>
      </c>
      <c r="G284">
        <v>0.16666666666666671</v>
      </c>
    </row>
    <row r="285" spans="1:7" x14ac:dyDescent="0.15">
      <c r="A285" t="str">
        <f>HYPERLINK("./new_k5/query_cmdrels_weight_analyze/0.2_0.4_0.4/so_6207573.xlsx","so_6207573")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0.2857142857142857</v>
      </c>
      <c r="F285">
        <v>0.37142857142857139</v>
      </c>
      <c r="G285">
        <v>0.39285714285714279</v>
      </c>
    </row>
    <row r="286" spans="1:7" x14ac:dyDescent="0.15">
      <c r="A286" t="str">
        <f>HYPERLINK("./new_k5/query_cmdrels_weight_analyze/0.2_0.4_0.4/so_6283167.xlsx","so_6283167")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HYPERLINK("./new_k5/query_cmdrels_weight_analyze/0.2_0.4_0.4/so_6329505.xlsx","so_6329505")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HYPERLINK("./new_k5/query_cmdrels_weight_analyze/0.2_0.4_0.4/so_6423532.xlsx","so_6423532")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HYPERLINK("./new_k5/query_cmdrels_weight_analyze/0.2_0.4_0.4/so_669438.xlsx","so_669438")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0.33333333333333331</v>
      </c>
    </row>
    <row r="290" spans="1:7" x14ac:dyDescent="0.15">
      <c r="A290" t="str">
        <f>HYPERLINK("./new_k5/query_cmdrels_weight_analyze/0.2_0.4_0.4/so_7052875.xlsx","so_7052875")</f>
        <v>so_7052875</v>
      </c>
      <c r="B290">
        <v>0.2</v>
      </c>
      <c r="C290">
        <v>0</v>
      </c>
      <c r="D290">
        <v>0.2</v>
      </c>
      <c r="E290">
        <v>0.1</v>
      </c>
      <c r="F290">
        <v>0.2</v>
      </c>
      <c r="G290">
        <v>0.18</v>
      </c>
    </row>
    <row r="291" spans="1:7" x14ac:dyDescent="0.15">
      <c r="A291" t="str">
        <f>HYPERLINK("./new_k5/query_cmdrels_weight_analyze/0.2_0.4_0.4/so_7221757.xlsx","so_7221757")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HYPERLINK("./new_k5/query_cmdrels_weight_analyze/0.2_0.4_0.4/so_750604.xlsx","so_750604")</f>
        <v>so_750604</v>
      </c>
      <c r="B292">
        <v>0</v>
      </c>
      <c r="C292">
        <v>0</v>
      </c>
      <c r="D292">
        <v>0.1111111111111111</v>
      </c>
      <c r="E292">
        <v>0.16666666666666671</v>
      </c>
      <c r="F292">
        <v>0.1111111111111111</v>
      </c>
      <c r="G292">
        <v>0.33333333333333331</v>
      </c>
    </row>
    <row r="293" spans="1:7" x14ac:dyDescent="0.15">
      <c r="A293" t="str">
        <f>HYPERLINK("./new_k5/query_cmdrels_weight_analyze/0.2_0.4_0.4/so_7575267.xlsx","so_7575267")</f>
        <v>so_7575267</v>
      </c>
      <c r="B293">
        <v>0</v>
      </c>
      <c r="C293">
        <v>0.25</v>
      </c>
      <c r="D293">
        <v>0</v>
      </c>
      <c r="E293">
        <v>0.75</v>
      </c>
      <c r="F293">
        <v>0</v>
      </c>
      <c r="G293">
        <v>0.75</v>
      </c>
    </row>
    <row r="294" spans="1:7" x14ac:dyDescent="0.15">
      <c r="A294" t="str">
        <f>HYPERLINK("./new_k5/query_cmdrels_weight_analyze/0.2_0.4_0.4/so_7698488.xlsx","so_7698488")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0.16250000000000001</v>
      </c>
    </row>
    <row r="295" spans="1:7" x14ac:dyDescent="0.15">
      <c r="A295" t="str">
        <f>HYPERLINK("./new_k5/query_cmdrels_weight_analyze/0.2_0.4_0.4/so_801095.xlsx","so_801095")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0.55555555555555547</v>
      </c>
      <c r="F295">
        <v>0.33333333333333331</v>
      </c>
      <c r="G295">
        <v>0.55555555555555547</v>
      </c>
    </row>
    <row r="296" spans="1:7" x14ac:dyDescent="0.15">
      <c r="A296" t="str">
        <f>HYPERLINK("./new_k5/query_cmdrels_weight_analyze/0.2_0.4_0.4/so_8249705.xlsx","so_8249705")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HYPERLINK("./new_k5/query_cmdrels_weight_analyze/0.2_0.4_0.4/so_8423541.xlsx","so_8423541")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HYPERLINK("./new_k5/query_cmdrels_weight_analyze/0.2_0.4_0.4/so_8654051.xlsx","so_8654051")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HYPERLINK("./new_k5/query_cmdrels_weight_analyze/0.2_0.4_0.4/so_890262.xlsx","so_890262")</f>
        <v>so_890262</v>
      </c>
      <c r="B299">
        <v>0</v>
      </c>
      <c r="C299">
        <v>0</v>
      </c>
      <c r="D299">
        <v>0</v>
      </c>
      <c r="E299">
        <v>0.1111111111111111</v>
      </c>
      <c r="F299">
        <v>0</v>
      </c>
      <c r="G299">
        <v>0.27777777777777768</v>
      </c>
    </row>
    <row r="300" spans="1:7" x14ac:dyDescent="0.15">
      <c r="A300" t="str">
        <f>HYPERLINK("./new_k5/query_cmdrels_weight_analyze/0.2_0.4_0.4/so_893585.xlsx","so_893585")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HYPERLINK("./new_k5/query_cmdrels_weight_analyze/0.2_0.4_0.4/so_9223460.xlsx","so_9223460")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HYPERLINK("./new_k5/query_cmdrels_weight_analyze/0.2_0.4_0.4/so_9245638.xlsx","so_9245638")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HYPERLINK("./new_k5/query_cmdrels_weight_analyze/0.2_0.4_0.4/so_9304953.xlsx","so_9304953")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HYPERLINK("./new_k5/query_cmdrels_weight_analyze/0.2_0.4_0.4/so_9361816.xlsx","so_9361816")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HYPERLINK("./new_k5/query_cmdrels_weight_analyze/0.2_0.4_0.4/su_116617.xlsx","su_116617")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HYPERLINK("./new_k5/query_cmdrels_weight_analyze/0.2_0.4_0.4/su_120045.xlsx","su_120045")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HYPERLINK("./new_k5/query_cmdrels_weight_analyze/0.2_0.4_0.4/su_127863.xlsx","su_127863")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HYPERLINK("./new_k5/query_cmdrels_weight_analyze/0.2_0.4_0.4/su_135498.xlsx","su_135498")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HYPERLINK("./new_k5/query_cmdrels_weight_analyze/0.2_0.4_0.4/su_147027.xlsx","su_147027")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HYPERLINK("./new_k5/query_cmdrels_weight_analyze/0.2_0.4_0.4/su_151911.xlsx","su_151911")</f>
        <v>su_151911</v>
      </c>
      <c r="B310">
        <v>0</v>
      </c>
      <c r="C310">
        <v>0</v>
      </c>
      <c r="D310">
        <v>0</v>
      </c>
      <c r="E310">
        <v>8.3333333333333329E-2</v>
      </c>
      <c r="F310">
        <v>0</v>
      </c>
      <c r="G310">
        <v>8.3333333333333329E-2</v>
      </c>
    </row>
    <row r="311" spans="1:7" x14ac:dyDescent="0.15">
      <c r="A311" t="str">
        <f>HYPERLINK("./new_k5/query_cmdrels_weight_analyze/0.2_0.4_0.4/su_153415.xlsx","su_153415")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HYPERLINK("./new_k5/query_cmdrels_weight_analyze/0.2_0.4_0.4/su_156189.xlsx","su_156189")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0.27777777777777768</v>
      </c>
    </row>
    <row r="313" spans="1:7" x14ac:dyDescent="0.15">
      <c r="A313" t="str">
        <f>HYPERLINK("./new_k5/query_cmdrels_weight_analyze/0.2_0.4_0.4/su_161531.xlsx","su_161531")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HYPERLINK("./new_k5/query_cmdrels_weight_analyze/0.2_0.4_0.4/su_204209.xlsx","su_204209")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HYPERLINK("./new_k5/query_cmdrels_weight_analyze/0.2_0.4_0.4/su_214390.xlsx","su_214390")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HYPERLINK("./new_k5/query_cmdrels_weight_analyze/0.2_0.4_0.4/su_215483.xlsx","su_215483")</f>
        <v>su_215483</v>
      </c>
      <c r="B316">
        <v>0.5</v>
      </c>
      <c r="C316">
        <v>0.5</v>
      </c>
      <c r="D316">
        <v>1</v>
      </c>
      <c r="E316">
        <v>0.83333333333333326</v>
      </c>
      <c r="F316">
        <v>1</v>
      </c>
      <c r="G316">
        <v>0.83333333333333326</v>
      </c>
    </row>
    <row r="317" spans="1:7" x14ac:dyDescent="0.15">
      <c r="A317" t="str">
        <f>HYPERLINK("./new_k5/query_cmdrels_weight_analyze/0.2_0.4_0.4/su_215504.xlsx","su_215504")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0.47916666666666657</v>
      </c>
    </row>
    <row r="318" spans="1:7" x14ac:dyDescent="0.15">
      <c r="A318" t="str">
        <f>HYPERLINK("./new_k5/query_cmdrels_weight_analyze/0.2_0.4_0.4/su_227385.xlsx","su_227385")</f>
        <v>su_227385</v>
      </c>
      <c r="B318">
        <v>0</v>
      </c>
      <c r="C318">
        <v>0</v>
      </c>
      <c r="D318">
        <v>0</v>
      </c>
      <c r="E318">
        <v>0.125</v>
      </c>
      <c r="F318">
        <v>0</v>
      </c>
      <c r="G318">
        <v>0.125</v>
      </c>
    </row>
    <row r="319" spans="1:7" x14ac:dyDescent="0.15">
      <c r="A319" t="str">
        <f>HYPERLINK("./new_k5/query_cmdrels_weight_analyze/0.2_0.4_0.4/su_273254.xlsx","su_273254")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HYPERLINK("./new_k5/query_cmdrels_weight_analyze/0.2_0.4_0.4/su_294161.xlsx","su_294161")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HYPERLINK("./new_k5/query_cmdrels_weight_analyze/0.2_0.4_0.4/su_302396.xlsx","su_302396")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HYPERLINK("./new_k5/query_cmdrels_weight_analyze/0.2_0.4_0.4/su_303981.xlsx","su_303981")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HYPERLINK("./new_k5/query_cmdrels_weight_analyze/0.2_0.4_0.4/su_305128.xlsx","su_305128")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HYPERLINK("./new_k5/query_cmdrels_weight_analyze/0.2_0.4_0.4/su_31512.xlsx","su_31512")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HYPERLINK("./new_k5/query_cmdrels_weight_analyze/0.2_0.4_0.4/su_380520.xlsx","su_380520")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</v>
      </c>
    </row>
    <row r="326" spans="1:7" x14ac:dyDescent="0.15">
      <c r="A326" t="str">
        <f>HYPERLINK("./new_k5/query_cmdrels_weight_analyze/0.2_0.4_0.4/su_38981.xlsx","su_38981")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HYPERLINK("./new_k5/query_cmdrels_weight_analyze/0.2_0.4_0.4/su_437330.xlsx","su_437330")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HYPERLINK("./new_k5/query_cmdrels_weight_analyze/0.2_0.4_0.4/su_441379.xlsx","su_441379")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HYPERLINK("./new_k5/query_cmdrels_weight_analyze/0.2_0.4_0.4/su_462788.xlsx","su_462788")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0.22222222222222221</v>
      </c>
      <c r="F329">
        <v>0.30555555555555558</v>
      </c>
      <c r="G329">
        <v>0.39444444444444438</v>
      </c>
    </row>
    <row r="330" spans="1:7" x14ac:dyDescent="0.15">
      <c r="A330" t="str">
        <f>HYPERLINK("./new_k5/query_cmdrels_weight_analyze/0.2_0.4_0.4/su_626606.xlsx","su_626606")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0.83333333333333337</v>
      </c>
    </row>
    <row r="331" spans="1:7" x14ac:dyDescent="0.15">
      <c r="A331" t="str">
        <f>HYPERLINK("./new_k5/query_cmdrels_weight_analyze/0.2_0.4_0.4/su_634469.xlsx","su_634469")</f>
        <v>su_634469</v>
      </c>
      <c r="B331">
        <v>0</v>
      </c>
      <c r="C331">
        <v>0.16666666666666671</v>
      </c>
      <c r="D331">
        <v>0</v>
      </c>
      <c r="E331">
        <v>0.16666666666666671</v>
      </c>
      <c r="F331">
        <v>0</v>
      </c>
      <c r="G331">
        <v>0.16666666666666671</v>
      </c>
    </row>
    <row r="332" spans="1:7" x14ac:dyDescent="0.15">
      <c r="A332" t="str">
        <f>HYPERLINK("./new_k5/query_cmdrels_weight_analyze/0.2_0.4_0.4/su_638616.xlsx","su_638616")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HYPERLINK("./new_k5/query_cmdrels_weight_analyze/0.2_0.4_0.4/su_678113.xlsx","su_678113")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HYPERLINK("./new_k5/query_cmdrels_weight_analyze/0.2_0.4_0.4/su_686394.xlsx","su_686394")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HYPERLINK("./new_k5/query_cmdrels_weight_analyze/0.2_0.4_0.4/su_716795.xlsx","su_716795")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0.125</v>
      </c>
    </row>
    <row r="336" spans="1:7" x14ac:dyDescent="0.15">
      <c r="A336" t="str">
        <f>HYPERLINK("./new_k5/query_cmdrels_weight_analyze/0.2_0.4_0.4/su_758463.xlsx","su_758463")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HYPERLINK("./new_k5/query_cmdrels_weight_analyze/0.2_0.4_0.4/su_766437.xlsx","su_766437")</f>
        <v>su_766437</v>
      </c>
      <c r="B337">
        <v>0</v>
      </c>
      <c r="C337">
        <v>0</v>
      </c>
      <c r="D337">
        <v>0</v>
      </c>
      <c r="E337">
        <v>6.6666666666666666E-2</v>
      </c>
      <c r="F337">
        <v>0.05</v>
      </c>
      <c r="G337">
        <v>0.28666666666666663</v>
      </c>
    </row>
    <row r="338" spans="1:7" x14ac:dyDescent="0.15">
      <c r="A338" t="str">
        <f>HYPERLINK("./new_k5/query_cmdrels_weight_analyze/0.2_0.4_0.4/su_904001.xlsx","su_904001")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HYPERLINK("./new_k5/query_cmdrels_weight_analyze/0.2_0.4_0.4/ul_100959.xlsx","ul_100959")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HYPERLINK("./new_k5/query_cmdrels_weight_analyze/0.2_0.4_0.4/ul_101073.xlsx","ul_101073")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HYPERLINK("./new_k5/query_cmdrels_weight_analyze/0.2_0.4_0.4/ul_101237.xlsx","ul_101237")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HYPERLINK("./new_k5/query_cmdrels_weight_analyze/0.2_0.4_0.4/ul_102752.xlsx","ul_102752")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HYPERLINK("./new_k5/query_cmdrels_weight_analyze/0.2_0.4_0.4/ul_108174.xlsx","ul_108174")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HYPERLINK("./new_k5/query_cmdrels_weight_analyze/0.2_0.4_0.4/ul_109536.xlsx","ul_109536")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HYPERLINK("./new_k5/query_cmdrels_weight_analyze/0.2_0.4_0.4/ul_112050.xlsx","ul_112050")</f>
        <v>ul_112050</v>
      </c>
      <c r="B345">
        <v>0</v>
      </c>
      <c r="C345">
        <v>0.25</v>
      </c>
      <c r="D345">
        <v>0.125</v>
      </c>
      <c r="E345">
        <v>0.75</v>
      </c>
      <c r="F345">
        <v>0.125</v>
      </c>
      <c r="G345">
        <v>0.75</v>
      </c>
    </row>
    <row r="346" spans="1:7" x14ac:dyDescent="0.15">
      <c r="A346" t="str">
        <f>HYPERLINK("./new_k5/query_cmdrels_weight_analyze/0.2_0.4_0.4/ul_116070.xlsx","ul_116070")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HYPERLINK("./new_k5/query_cmdrels_weight_analyze/0.2_0.4_0.4/ul_11851.xlsx","ul_11851")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HYPERLINK("./new_k5/query_cmdrels_weight_analyze/0.2_0.4_0.4/ul_119126.xlsx","ul_119126")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HYPERLINK("./new_k5/query_cmdrels_weight_analyze/0.2_0.4_0.4/ul_121718.xlsx","ul_121718")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HYPERLINK("./new_k5/query_cmdrels_weight_analyze/0.2_0.4_0.4/ul_12227.xlsx","ul_12227")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HYPERLINK("./new_k5/query_cmdrels_weight_analyze/0.2_0.4_0.4/ul_12453.xlsx","ul_12453")</f>
        <v>ul_12453</v>
      </c>
      <c r="B351">
        <v>0</v>
      </c>
      <c r="C351">
        <v>0.25</v>
      </c>
      <c r="D351">
        <v>0.125</v>
      </c>
      <c r="E351">
        <v>0.75</v>
      </c>
      <c r="F351">
        <v>0.125</v>
      </c>
      <c r="G351">
        <v>1</v>
      </c>
    </row>
    <row r="352" spans="1:7" x14ac:dyDescent="0.15">
      <c r="A352" t="str">
        <f>HYPERLINK("./new_k5/query_cmdrels_weight_analyze/0.2_0.4_0.4/ul_12535.xlsx","ul_12535")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0.16666666666666671</v>
      </c>
    </row>
    <row r="353" spans="1:7" x14ac:dyDescent="0.15">
      <c r="A353" t="str">
        <f>HYPERLINK("./new_k5/query_cmdrels_weight_analyze/0.2_0.4_0.4/ul_127066.xlsx","ul_127066")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0.60416666666666663</v>
      </c>
    </row>
    <row r="354" spans="1:7" x14ac:dyDescent="0.15">
      <c r="A354" t="str">
        <f>HYPERLINK("./new_k5/query_cmdrels_weight_analyze/0.2_0.4_0.4/ul_128953.xlsx","ul_128953")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HYPERLINK("./new_k5/query_cmdrels_weight_analyze/0.2_0.4_0.4/ul_134829.xlsx","ul_134829")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0.66666666666666663</v>
      </c>
    </row>
    <row r="356" spans="1:7" x14ac:dyDescent="0.15">
      <c r="A356" t="str">
        <f>HYPERLINK("./new_k5/query_cmdrels_weight_analyze/0.2_0.4_0.4/ul_136371.xlsx","ul_136371")</f>
        <v>ul_136371</v>
      </c>
      <c r="B356">
        <v>0</v>
      </c>
      <c r="C356">
        <v>0</v>
      </c>
      <c r="D356">
        <v>0</v>
      </c>
      <c r="E356">
        <v>0.16666666666666671</v>
      </c>
      <c r="F356">
        <v>0</v>
      </c>
      <c r="G356">
        <v>0.3</v>
      </c>
    </row>
    <row r="357" spans="1:7" x14ac:dyDescent="0.15">
      <c r="A357" t="str">
        <f>HYPERLINK("./new_k5/query_cmdrels_weight_analyze/0.2_0.4_0.4/ul_136884.xlsx","ul_136884")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HYPERLINK("./new_k5/query_cmdrels_weight_analyze/0.2_0.4_0.4/ul_138398.xlsx","ul_138398")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HYPERLINK("./new_k5/query_cmdrels_weight_analyze/0.2_0.4_0.4/ul_139271.xlsx","ul_139271")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0.33333333333333331</v>
      </c>
      <c r="F359">
        <v>0.33333333333333331</v>
      </c>
      <c r="G359">
        <v>0.45833333333333331</v>
      </c>
    </row>
    <row r="360" spans="1:7" x14ac:dyDescent="0.15">
      <c r="A360" t="str">
        <f>HYPERLINK("./new_k5/query_cmdrels_weight_analyze/0.2_0.4_0.4/ul_140482.xlsx","ul_140482")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HYPERLINK("./new_k5/query_cmdrels_weight_analyze/0.2_0.4_0.4/ul_14191.xlsx","ul_14191")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0.1111111111111111</v>
      </c>
    </row>
    <row r="362" spans="1:7" x14ac:dyDescent="0.15">
      <c r="A362" t="str">
        <f>HYPERLINK("./new_k5/query_cmdrels_weight_analyze/0.2_0.4_0.4/ul_145929.xlsx","ul_145929")</f>
        <v>ul_145929</v>
      </c>
      <c r="B362">
        <v>0</v>
      </c>
      <c r="C362">
        <v>0</v>
      </c>
      <c r="D362">
        <v>0.16666666666666671</v>
      </c>
      <c r="E362">
        <v>0.25</v>
      </c>
      <c r="F362">
        <v>0.16666666666666671</v>
      </c>
      <c r="G362">
        <v>0.5</v>
      </c>
    </row>
    <row r="363" spans="1:7" x14ac:dyDescent="0.15">
      <c r="A363" t="str">
        <f>HYPERLINK("./new_k5/query_cmdrels_weight_analyze/0.2_0.4_0.4/ul_148985.xlsx","ul_148985")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HYPERLINK("./new_k5/query_cmdrels_weight_analyze/0.2_0.4_0.4/ul_15405.xlsx","ul_15405")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HYPERLINK("./new_k5/query_cmdrels_weight_analyze/0.2_0.4_0.4/ul_155551.xlsx","ul_155551")</f>
        <v>ul_155551</v>
      </c>
      <c r="B365">
        <v>0</v>
      </c>
      <c r="C365">
        <v>0.5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HYPERLINK("./new_k5/query_cmdrels_weight_analyze/0.2_0.4_0.4/ul_159672.xlsx","ul_159672")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HYPERLINK("./new_k5/query_cmdrels_weight_analyze/0.2_0.4_0.4/ul_163845.xlsx","ul_163845")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HYPERLINK("./new_k5/query_cmdrels_weight_analyze/0.2_0.4_0.4/ul_16407.xlsx","ul_16407")</f>
        <v>ul_16407</v>
      </c>
      <c r="B368">
        <v>0.5</v>
      </c>
      <c r="C368">
        <v>0</v>
      </c>
      <c r="D368">
        <v>0.5</v>
      </c>
      <c r="E368">
        <v>0.25</v>
      </c>
      <c r="F368">
        <v>0.75</v>
      </c>
      <c r="G368">
        <v>0.25</v>
      </c>
    </row>
    <row r="369" spans="1:7" x14ac:dyDescent="0.15">
      <c r="A369" t="str">
        <f>HYPERLINK("./new_k5/query_cmdrels_weight_analyze/0.2_0.4_0.4/ul_166558.xlsx","ul_166558")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HYPERLINK("./new_k5/query_cmdrels_weight_analyze/0.2_0.4_0.4/ul_171314.xlsx","ul_171314")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0.35</v>
      </c>
    </row>
    <row r="371" spans="1:7" x14ac:dyDescent="0.15">
      <c r="A371" t="str">
        <f>HYPERLINK("./new_k5/query_cmdrels_weight_analyze/0.2_0.4_0.4/ul_182032.xlsx","ul_182032")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HYPERLINK("./new_k5/query_cmdrels_weight_analyze/0.2_0.4_0.4/ul_19344.xlsx","ul_19344")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HYPERLINK("./new_k5/query_cmdrels_weight_analyze/0.2_0.4_0.4/ul_19369.xlsx","ul_19369")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HYPERLINK("./new_k5/query_cmdrels_weight_analyze/0.2_0.4_0.4/ul_19485.xlsx","ul_19485")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HYPERLINK("./new_k5/query_cmdrels_weight_analyze/0.2_0.4_0.4/ul_20370.xlsx","ul_20370")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0.125</v>
      </c>
    </row>
    <row r="376" spans="1:7" x14ac:dyDescent="0.15">
      <c r="A376" t="str">
        <f>HYPERLINK("./new_k5/query_cmdrels_weight_analyze/0.2_0.4_0.4/ul_211817.xlsx","ul_211817")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HYPERLINK("./new_k5/query_cmdrels_weight_analyze/0.2_0.4_0.4/ul_212925.xlsx","ul_212925")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HYPERLINK("./new_k5/query_cmdrels_weight_analyze/0.2_0.4_0.4/ul_21471.xlsx","ul_21471")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HYPERLINK("./new_k5/query_cmdrels_weight_analyze/0.2_0.4_0.4/ul_22545.xlsx","ul_22545")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HYPERLINK("./new_k5/query_cmdrels_weight_analyze/0.2_0.4_0.4/ul_230481.xlsx","ul_230481")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HYPERLINK("./new_k5/query_cmdrels_weight_analyze/0.2_0.4_0.4/ul_230673.xlsx","ul_230673")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0.5</v>
      </c>
    </row>
    <row r="382" spans="1:7" x14ac:dyDescent="0.15">
      <c r="A382" t="str">
        <f>HYPERLINK("./new_k5/query_cmdrels_weight_analyze/0.2_0.4_0.4/ul_230800.xlsx","ul_230800")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HYPERLINK("./new_k5/query_cmdrels_weight_analyze/0.2_0.4_0.4/ul_232384.xlsx","ul_232384")</f>
        <v>ul_232384</v>
      </c>
      <c r="B383">
        <v>0</v>
      </c>
      <c r="C383">
        <v>0.5</v>
      </c>
      <c r="D383">
        <v>0</v>
      </c>
      <c r="E383">
        <v>0.83333333333333326</v>
      </c>
      <c r="F383">
        <v>0</v>
      </c>
      <c r="G383">
        <v>0.83333333333333326</v>
      </c>
    </row>
    <row r="384" spans="1:7" x14ac:dyDescent="0.15">
      <c r="A384" t="str">
        <f>HYPERLINK("./new_k5/query_cmdrels_weight_analyze/0.2_0.4_0.4/ul_24441.xlsx","ul_24441")</f>
        <v>ul_24441</v>
      </c>
      <c r="B384">
        <v>0</v>
      </c>
      <c r="C384">
        <v>0.5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HYPERLINK("./new_k5/query_cmdrels_weight_analyze/0.2_0.4_0.4/ul_246535.xlsx","ul_246535")</f>
        <v>ul_246535</v>
      </c>
      <c r="B385">
        <v>0.2</v>
      </c>
      <c r="C385">
        <v>0.2</v>
      </c>
      <c r="D385">
        <v>0.2</v>
      </c>
      <c r="E385">
        <v>0.33333333333333331</v>
      </c>
      <c r="F385">
        <v>0.2</v>
      </c>
      <c r="G385">
        <v>0.45333333333333331</v>
      </c>
    </row>
    <row r="386" spans="1:7" x14ac:dyDescent="0.15">
      <c r="A386" t="str">
        <f>HYPERLINK("./new_k5/query_cmdrels_weight_analyze/0.2_0.4_0.4/ul_259791.xlsx","ul_259791")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HYPERLINK("./new_k5/query_cmdrels_weight_analyze/0.2_0.4_0.4/ul_273971.xlsx","ul_273971")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0.16666666666666671</v>
      </c>
      <c r="F387">
        <v>0.43333333333333329</v>
      </c>
      <c r="G387">
        <v>0.25</v>
      </c>
    </row>
    <row r="388" spans="1:7" x14ac:dyDescent="0.15">
      <c r="A388" t="str">
        <f>HYPERLINK("./new_k5/query_cmdrels_weight_analyze/0.2_0.4_0.4/ul_28553.xlsx","ul_28553")</f>
        <v>ul_28553</v>
      </c>
      <c r="B388">
        <v>0.25</v>
      </c>
      <c r="C388">
        <v>0</v>
      </c>
      <c r="D388">
        <v>0.5</v>
      </c>
      <c r="E388">
        <v>0.125</v>
      </c>
      <c r="F388">
        <v>0.5</v>
      </c>
      <c r="G388">
        <v>0.125</v>
      </c>
    </row>
    <row r="389" spans="1:7" x14ac:dyDescent="0.15">
      <c r="A389" t="str">
        <f>HYPERLINK("./new_k5/query_cmdrels_weight_analyze/0.2_0.4_0.4/ul_288521.xlsx","ul_288521")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HYPERLINK("./new_k5/query_cmdrels_weight_analyze/0.2_0.4_0.4/ul_32290.xlsx","ul_32290")</f>
        <v>ul_32290</v>
      </c>
      <c r="B390">
        <v>0</v>
      </c>
      <c r="C390">
        <v>0</v>
      </c>
      <c r="D390">
        <v>0</v>
      </c>
      <c r="E390">
        <v>0.125</v>
      </c>
      <c r="F390">
        <v>0</v>
      </c>
      <c r="G390">
        <v>0.125</v>
      </c>
    </row>
    <row r="391" spans="1:7" x14ac:dyDescent="0.15">
      <c r="A391" t="str">
        <f>HYPERLINK("./new_k5/query_cmdrels_weight_analyze/0.2_0.4_0.4/ul_328882.xlsx","ul_328882")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HYPERLINK("./new_k5/query_cmdrels_weight_analyze/0.2_0.4_0.4/ul_35131.xlsx","ul_35131")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0.91666666666666663</v>
      </c>
    </row>
    <row r="393" spans="1:7" x14ac:dyDescent="0.15">
      <c r="A393" t="str">
        <f>HYPERLINK("./new_k5/query_cmdrels_weight_analyze/0.2_0.4_0.4/ul_35333.xlsx","ul_35333")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HYPERLINK("./new_k5/query_cmdrels_weight_analyze/0.2_0.4_0.4/ul_35711.xlsx","ul_35711")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HYPERLINK("./new_k5/query_cmdrels_weight_analyze/0.2_0.4_0.4/ul_3575.xlsx","ul_3575")</f>
        <v>ul_3575</v>
      </c>
      <c r="B395">
        <v>0</v>
      </c>
      <c r="C395">
        <v>0</v>
      </c>
      <c r="D395">
        <v>8.3333333333333329E-2</v>
      </c>
      <c r="E395">
        <v>8.3333333333333329E-2</v>
      </c>
      <c r="F395">
        <v>8.3333333333333329E-2</v>
      </c>
      <c r="G395">
        <v>8.3333333333333329E-2</v>
      </c>
    </row>
    <row r="396" spans="1:7" x14ac:dyDescent="0.15">
      <c r="A396" t="str">
        <f>HYPERLINK("./new_k5/query_cmdrels_weight_analyze/0.2_0.4_0.4/ul_35832.xlsx","ul_35832")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HYPERLINK("./new_k5/query_cmdrels_weight_analyze/0.2_0.4_0.4/ul_370318.xlsx","ul_370318")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0.2857142857142857</v>
      </c>
      <c r="F397">
        <v>0.14285714285714279</v>
      </c>
      <c r="G397">
        <v>0.39285714285714279</v>
      </c>
    </row>
    <row r="398" spans="1:7" x14ac:dyDescent="0.15">
      <c r="A398" t="str">
        <f>HYPERLINK("./new_k5/query_cmdrels_weight_analyze/0.2_0.4_0.4/ul_37329.xlsx","ul_37329")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0.66666666666666663</v>
      </c>
      <c r="F398">
        <v>0.33333333333333331</v>
      </c>
      <c r="G398">
        <v>0.66666666666666663</v>
      </c>
    </row>
    <row r="399" spans="1:7" x14ac:dyDescent="0.15">
      <c r="A399" t="str">
        <f>HYPERLINK("./new_k5/query_cmdrels_weight_analyze/0.2_0.4_0.4/ul_38209.xlsx","ul_38209")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HYPERLINK("./new_k5/query_cmdrels_weight_analyze/0.2_0.4_0.4/ul_41246.xlsx","ul_41246")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HYPERLINK("./new_k5/query_cmdrels_weight_analyze/0.2_0.4_0.4/ul_41362.xlsx","ul_41362")</f>
        <v>ul_41362</v>
      </c>
      <c r="B401">
        <v>0</v>
      </c>
      <c r="C401">
        <v>0</v>
      </c>
      <c r="D401">
        <v>0</v>
      </c>
      <c r="E401">
        <v>8.3333333333333329E-2</v>
      </c>
      <c r="F401">
        <v>0</v>
      </c>
      <c r="G401">
        <v>8.3333333333333329E-2</v>
      </c>
    </row>
    <row r="402" spans="1:7" x14ac:dyDescent="0.15">
      <c r="A402" t="str">
        <f>HYPERLINK("./new_k5/query_cmdrels_weight_analyze/0.2_0.4_0.4/ul_48200.xlsx","ul_48200")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HYPERLINK("./new_k5/query_cmdrels_weight_analyze/0.2_0.4_0.4/ul_50098.xlsx","ul_50098")</f>
        <v>ul_50098</v>
      </c>
      <c r="B403">
        <v>0</v>
      </c>
      <c r="C403">
        <v>0.1</v>
      </c>
      <c r="D403">
        <v>0.1166666666666667</v>
      </c>
      <c r="E403">
        <v>0.16666666666666671</v>
      </c>
      <c r="F403">
        <v>0.1166666666666667</v>
      </c>
      <c r="G403">
        <v>0.24166666666666661</v>
      </c>
    </row>
    <row r="404" spans="1:7" x14ac:dyDescent="0.15">
      <c r="A404" t="str">
        <f>HYPERLINK("./new_k5/query_cmdrels_weight_analyze/0.2_0.4_0.4/ul_50785.xlsx","ul_50785")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HYPERLINK("./new_k5/query_cmdrels_weight_analyze/0.2_0.4_0.4/ul_5085.xlsx","ul_5085")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HYPERLINK("./new_k5/query_cmdrels_weight_analyze/0.2_0.4_0.4/ul_53737.xlsx","ul_53737")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HYPERLINK("./new_k5/query_cmdrels_weight_analyze/0.2_0.4_0.4/ul_55125.xlsx","ul_55125")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HYPERLINK("./new_k5/query_cmdrels_weight_analyze/0.2_0.4_0.4/ul_56453.xlsx","ul_56453")</f>
        <v>ul_56453</v>
      </c>
      <c r="B408">
        <v>0</v>
      </c>
      <c r="C408">
        <v>0.25</v>
      </c>
      <c r="D408">
        <v>8.3333333333333329E-2</v>
      </c>
      <c r="E408">
        <v>0.5</v>
      </c>
      <c r="F408">
        <v>8.3333333333333329E-2</v>
      </c>
      <c r="G408">
        <v>0.5</v>
      </c>
    </row>
    <row r="409" spans="1:7" x14ac:dyDescent="0.15">
      <c r="A409" t="str">
        <f>HYPERLINK("./new_k5/query_cmdrels_weight_analyze/0.2_0.4_0.4/ul_63648.xlsx","ul_63648")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HYPERLINK("./new_k5/query_cmdrels_weight_analyze/0.2_0.4_0.4/ul_6402.xlsx","ul_6402")</f>
        <v>ul_6402</v>
      </c>
      <c r="B410">
        <v>0.33333333333333331</v>
      </c>
      <c r="C410">
        <v>0</v>
      </c>
      <c r="D410">
        <v>0.33333333333333331</v>
      </c>
      <c r="E410">
        <v>0.16666666666666671</v>
      </c>
      <c r="F410">
        <v>0.33333333333333331</v>
      </c>
      <c r="G410">
        <v>0.16666666666666671</v>
      </c>
    </row>
    <row r="411" spans="1:7" x14ac:dyDescent="0.15">
      <c r="A411" t="str">
        <f>HYPERLINK("./new_k5/query_cmdrels_weight_analyze/0.2_0.4_0.4/ul_65106.xlsx","ul_65106")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0.66666666666666663</v>
      </c>
    </row>
    <row r="412" spans="1:7" x14ac:dyDescent="0.15">
      <c r="A412" t="str">
        <f>HYPERLINK("./new_k5/query_cmdrels_weight_analyze/0.2_0.4_0.4/ul_65932.xlsx","ul_65932")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HYPERLINK("./new_k5/query_cmdrels_weight_analyze/0.2_0.4_0.4/ul_6596.xlsx","ul_6596")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HYPERLINK("./new_k5/query_cmdrels_weight_analyze/0.2_0.4_0.4/ul_67503.xlsx","ul_67503")</f>
        <v>ul_67503</v>
      </c>
      <c r="B414">
        <v>0</v>
      </c>
      <c r="C414">
        <v>0.5</v>
      </c>
      <c r="D414">
        <v>0.25</v>
      </c>
      <c r="E414">
        <v>0.5</v>
      </c>
      <c r="F414">
        <v>0.5</v>
      </c>
      <c r="G414">
        <v>0.7</v>
      </c>
    </row>
    <row r="415" spans="1:7" x14ac:dyDescent="0.15">
      <c r="A415" t="str">
        <f>HYPERLINK("./new_k5/query_cmdrels_weight_analyze/0.2_0.4_0.4/ul_67592.xlsx","ul_67592")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HYPERLINK("./new_k5/query_cmdrels_weight_analyze/0.2_0.4_0.4/ul_70581.xlsx","ul_70581")</f>
        <v>ul_70581</v>
      </c>
      <c r="B416">
        <v>0</v>
      </c>
      <c r="C416">
        <v>0</v>
      </c>
      <c r="D416">
        <v>0.1</v>
      </c>
      <c r="E416">
        <v>6.6666666666666666E-2</v>
      </c>
      <c r="F416">
        <v>0.1</v>
      </c>
      <c r="G416">
        <v>0.28666666666666663</v>
      </c>
    </row>
    <row r="417" spans="1:7" x14ac:dyDescent="0.15">
      <c r="A417" t="str">
        <f>HYPERLINK("./new_k5/query_cmdrels_weight_analyze/0.2_0.4_0.4/ul_70614.xlsx","ul_70614")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HYPERLINK("./new_k5/query_cmdrels_weight_analyze/0.2_0.4_0.4/ul_71465.xlsx","ul_71465")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HYPERLINK("./new_k5/query_cmdrels_weight_analyze/0.2_0.4_0.4/ul_7226.xlsx","ul_7226")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0.55555555555555547</v>
      </c>
      <c r="F419">
        <v>0.33333333333333331</v>
      </c>
      <c r="G419">
        <v>0.55555555555555547</v>
      </c>
    </row>
    <row r="420" spans="1:7" x14ac:dyDescent="0.15">
      <c r="A420" t="str">
        <f>HYPERLINK("./new_k5/query_cmdrels_weight_analyze/0.2_0.4_0.4/ul_78182.xlsx","ul_78182")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</v>
      </c>
    </row>
    <row r="421" spans="1:7" x14ac:dyDescent="0.15">
      <c r="A421" t="str">
        <f>HYPERLINK("./new_k5/query_cmdrels_weight_analyze/0.2_0.4_0.4/ul_79678.xlsx","ul_79678")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HYPERLINK("./new_k5/query_cmdrels_weight_analyze/0.2_0.4_0.4/ul_79702.xlsx","ul_79702")</f>
        <v>ul_79702</v>
      </c>
      <c r="B422">
        <v>0</v>
      </c>
      <c r="C422">
        <v>0.33333333333333331</v>
      </c>
      <c r="D422">
        <v>0</v>
      </c>
      <c r="E422">
        <v>0.66666666666666663</v>
      </c>
      <c r="F422">
        <v>0</v>
      </c>
      <c r="G422">
        <v>0.8666666666666667</v>
      </c>
    </row>
    <row r="423" spans="1:7" x14ac:dyDescent="0.15">
      <c r="A423" t="str">
        <f>HYPERLINK("./new_k5/query_cmdrels_weight_analyze/0.2_0.4_0.4/ul_83593.xlsx","ul_83593")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HYPERLINK("./new_k5/query_cmdrels_weight_analyze/0.2_0.4_0.4/ul_84381.xlsx","ul_84381")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HYPERLINK("./new_k5/query_cmdrels_weight_analyze/0.2_0.4_0.4/ul_85180.xlsx","ul_85180")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0.27777777777777768</v>
      </c>
    </row>
    <row r="426" spans="1:7" x14ac:dyDescent="0.15">
      <c r="A426" t="str">
        <f>HYPERLINK("./new_k5/query_cmdrels_weight_analyze/0.2_0.4_0.4/ul_86071.xlsx","ul_86071")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HYPERLINK("./new_k5/query_cmdrels_weight_analyze/0.2_0.4_0.4/ul_86729.xlsx","ul_86729")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HYPERLINK("./new_k5/query_cmdrels_weight_analyze/0.2_0.4_0.4/ul_88824.xlsx","ul_88824")</f>
        <v>ul_88824</v>
      </c>
      <c r="B428">
        <v>0</v>
      </c>
      <c r="C428">
        <v>0.33333333333333331</v>
      </c>
      <c r="D428">
        <v>0</v>
      </c>
      <c r="E428">
        <v>0.33333333333333331</v>
      </c>
      <c r="F428">
        <v>0</v>
      </c>
      <c r="G428">
        <v>0.46666666666666662</v>
      </c>
    </row>
    <row r="429" spans="1:7" x14ac:dyDescent="0.15">
      <c r="A429" t="str">
        <f>HYPERLINK("./new_k5/query_cmdrels_weight_analyze/0.2_0.4_0.4/ul_8945.xlsx","ul_8945")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HYPERLINK("./new_k5/query_cmdrels_weight_analyze/0.2_0.4_0.4/ul_89933.xlsx","ul_89933")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HYPERLINK("./new_k5/query_cmdrels_weight_analyze/0.2_0.4_0.4/ul_91297.xlsx","ul_91297")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HYPERLINK("./new_k5/query_cmdrels_weight_analyze/0.2_0.4_0.4/ul_9252.xlsx","ul_9252")</f>
        <v>ul_9252</v>
      </c>
      <c r="B432">
        <v>0</v>
      </c>
      <c r="C432">
        <v>0</v>
      </c>
      <c r="D432">
        <v>0.23333333333333331</v>
      </c>
      <c r="E432">
        <v>0.1</v>
      </c>
      <c r="F432">
        <v>0.23333333333333331</v>
      </c>
      <c r="G432">
        <v>0.18</v>
      </c>
    </row>
    <row r="433" spans="1:7" x14ac:dyDescent="0.15">
      <c r="A433" t="str">
        <f>HYPERLINK("./new_k5/query_cmdrels_weight_analyze/0.2_0.4_0.4/ul_92560.xlsx","ul_92560")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0.7</v>
      </c>
    </row>
    <row r="434" spans="1:7" x14ac:dyDescent="0.15">
      <c r="A434" t="str">
        <f>HYPERLINK("./new_k5/query_cmdrels_weight_analyze/0.2_0.4_0.4/ul_92799.xlsx","ul_92799")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0.27777777777777768</v>
      </c>
      <c r="F434">
        <v>0.53611111111111109</v>
      </c>
      <c r="G434">
        <v>0.53611111111111109</v>
      </c>
    </row>
    <row r="435" spans="1:7" x14ac:dyDescent="0.15">
      <c r="A435" t="str">
        <f>HYPERLINK("./new_k5/query_cmdrels_weight_analyze/0.2_0.4_0.4/ul_93139.xlsx","ul_93139")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HYPERLINK("./new_k5/query_cmdrels_weight_analyze/0.2_0.4_0.4/ul_98461.xlsx","ul_98461")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HYPERLINK("./new_k5/query_cmdrels_weight_analyze/0.2_0.5_0.3/au_102733.xlsx","au_102733")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HYPERLINK("./new_k5/query_cmdrels_weight_analyze/0.2_0.5_0.3/au_1029436.xlsx","au_1029436")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HYPERLINK("./new_k5/query_cmdrels_weight_analyze/0.2_0.5_0.3/au_1029502.xlsx","au_1029502")</f>
        <v>au_1029502</v>
      </c>
      <c r="B5">
        <v>0.25</v>
      </c>
      <c r="C5">
        <v>0.25</v>
      </c>
      <c r="D5">
        <v>0.25</v>
      </c>
      <c r="E5">
        <v>0.25</v>
      </c>
      <c r="F5">
        <v>0.375</v>
      </c>
      <c r="G5">
        <v>0.25</v>
      </c>
    </row>
    <row r="6" spans="1:7" x14ac:dyDescent="0.15">
      <c r="A6" t="str">
        <f>HYPERLINK("./new_k5/query_cmdrels_weight_analyze/0.2_0.5_0.3/au_1029531.xlsx","au_1029531")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HYPERLINK("./new_k5/query_cmdrels_weight_analyze/0.2_0.5_0.3/au_104542.xlsx","au_104542")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HYPERLINK("./new_k5/query_cmdrels_weight_analyze/0.2_0.5_0.3/au_109070.xlsx","au_109070")</f>
        <v>au_109070</v>
      </c>
      <c r="B8">
        <v>0</v>
      </c>
      <c r="C8">
        <v>0</v>
      </c>
      <c r="D8">
        <v>0.23333333333333331</v>
      </c>
      <c r="E8">
        <v>0</v>
      </c>
      <c r="F8">
        <v>0.3833333333333333</v>
      </c>
      <c r="G8">
        <v>0.05</v>
      </c>
    </row>
    <row r="9" spans="1:7" x14ac:dyDescent="0.15">
      <c r="A9" t="str">
        <f>HYPERLINK("./new_k5/query_cmdrels_weight_analyze/0.2_0.5_0.3/au_109381.xlsx","au_109381")</f>
        <v>au_109381</v>
      </c>
      <c r="B9">
        <v>0</v>
      </c>
      <c r="C9">
        <v>0.5</v>
      </c>
      <c r="D9">
        <v>0.25</v>
      </c>
      <c r="E9">
        <v>0.83333333333333326</v>
      </c>
      <c r="F9">
        <v>0.25</v>
      </c>
      <c r="G9">
        <v>0.83333333333333326</v>
      </c>
    </row>
    <row r="10" spans="1:7" x14ac:dyDescent="0.15">
      <c r="A10" t="str">
        <f>HYPERLINK("./new_k5/query_cmdrels_weight_analyze/0.2_0.5_0.3/au_110477.xlsx","au_110477")</f>
        <v>au_110477</v>
      </c>
      <c r="B10">
        <v>0.25</v>
      </c>
      <c r="C10">
        <v>0.25</v>
      </c>
      <c r="D10">
        <v>0.5</v>
      </c>
      <c r="E10">
        <v>0.75</v>
      </c>
      <c r="F10">
        <v>0.5</v>
      </c>
      <c r="G10">
        <v>0.75</v>
      </c>
    </row>
    <row r="11" spans="1:7" x14ac:dyDescent="0.15">
      <c r="A11" t="str">
        <f>HYPERLINK("./new_k5/query_cmdrels_weight_analyze/0.2_0.5_0.3/au_111678.xlsx","au_111678")</f>
        <v>au_111678</v>
      </c>
      <c r="B11">
        <v>0</v>
      </c>
      <c r="C11">
        <v>0.33333333333333331</v>
      </c>
      <c r="D11">
        <v>0.1111111111111111</v>
      </c>
      <c r="E11">
        <v>0.33333333333333331</v>
      </c>
      <c r="F11">
        <v>0.1111111111111111</v>
      </c>
      <c r="G11">
        <v>0.33333333333333331</v>
      </c>
    </row>
    <row r="12" spans="1:7" x14ac:dyDescent="0.15">
      <c r="A12" t="str">
        <f>HYPERLINK("./new_k5/query_cmdrels_weight_analyze/0.2_0.5_0.3/au_112512.xlsx","au_112512")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HYPERLINK("./new_k5/query_cmdrels_weight_analyze/0.2_0.5_0.3/au_115369.xlsx","au_115369")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HYPERLINK("./new_k5/query_cmdrels_weight_analyze/0.2_0.5_0.3/au_11789.xlsx","au_11789")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HYPERLINK("./new_k5/query_cmdrels_weight_analyze/0.2_0.5_0.3/au_117950.xlsx","au_117950")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0.32500000000000001</v>
      </c>
    </row>
    <row r="16" spans="1:7" x14ac:dyDescent="0.15">
      <c r="A16" t="str">
        <f>HYPERLINK("./new_k5/query_cmdrels_weight_analyze/0.2_0.5_0.3/au_122113.xlsx","au_122113")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HYPERLINK("./new_k5/query_cmdrels_weight_analyze/0.2_0.5_0.3/au_123798.xlsx","au_123798")</f>
        <v>au_123798</v>
      </c>
      <c r="B17">
        <v>0</v>
      </c>
      <c r="C17">
        <v>0</v>
      </c>
      <c r="D17">
        <v>5.5555555555555552E-2</v>
      </c>
      <c r="E17">
        <v>5.5555555555555552E-2</v>
      </c>
      <c r="F17">
        <v>0.23888888888888879</v>
      </c>
      <c r="G17">
        <v>0.23888888888888879</v>
      </c>
    </row>
    <row r="18" spans="1:7" x14ac:dyDescent="0.15">
      <c r="A18" t="str">
        <f>HYPERLINK("./new_k5/query_cmdrels_weight_analyze/0.2_0.5_0.3/au_125257.xlsx","au_125257")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HYPERLINK("./new_k5/query_cmdrels_weight_analyze/0.2_0.5_0.3/au_126153.xlsx","au_126153")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0.27777777777777768</v>
      </c>
      <c r="F19">
        <v>0.45833333333333331</v>
      </c>
      <c r="G19">
        <v>0.27777777777777768</v>
      </c>
    </row>
    <row r="20" spans="1:7" x14ac:dyDescent="0.15">
      <c r="A20" t="str">
        <f>HYPERLINK("./new_k5/query_cmdrels_weight_analyze/0.2_0.5_0.3/au_127326.xlsx","au_127326")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HYPERLINK("./new_k5/query_cmdrels_weight_analyze/0.2_0.5_0.3/au_128463.xlsx","au_128463")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HYPERLINK("./new_k5/query_cmdrels_weight_analyze/0.2_0.5_0.3/au_130393.xlsx","au_130393")</f>
        <v>au_130393</v>
      </c>
      <c r="B22">
        <v>0</v>
      </c>
      <c r="C22">
        <v>0.25</v>
      </c>
      <c r="D22">
        <v>0.125</v>
      </c>
      <c r="E22">
        <v>0.25</v>
      </c>
      <c r="F22">
        <v>0.125</v>
      </c>
      <c r="G22">
        <v>0.35</v>
      </c>
    </row>
    <row r="23" spans="1:7" x14ac:dyDescent="0.15">
      <c r="A23" t="str">
        <f>HYPERLINK("./new_k5/query_cmdrels_weight_analyze/0.2_0.5_0.3/au_131570.xlsx","au_131570")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HYPERLINK("./new_k5/query_cmdrels_weight_analyze/0.2_0.5_0.3/au_133318.xlsx","au_133318")</f>
        <v>au_133318</v>
      </c>
      <c r="B24">
        <v>0</v>
      </c>
      <c r="C24">
        <v>0.25</v>
      </c>
      <c r="D24">
        <v>0</v>
      </c>
      <c r="E24">
        <v>0.41666666666666657</v>
      </c>
      <c r="F24">
        <v>0</v>
      </c>
      <c r="G24">
        <v>0.41666666666666657</v>
      </c>
    </row>
    <row r="25" spans="1:7" x14ac:dyDescent="0.15">
      <c r="A25" t="str">
        <f>HYPERLINK("./new_k5/query_cmdrels_weight_analyze/0.2_0.5_0.3/au_133343.xlsx","au_133343")</f>
        <v>au_133343</v>
      </c>
      <c r="B25">
        <v>0</v>
      </c>
      <c r="C25">
        <v>0</v>
      </c>
      <c r="D25">
        <v>0</v>
      </c>
      <c r="E25">
        <v>0.1111111111111111</v>
      </c>
      <c r="F25">
        <v>0</v>
      </c>
      <c r="G25">
        <v>0.27777777777777768</v>
      </c>
    </row>
    <row r="26" spans="1:7" x14ac:dyDescent="0.15">
      <c r="A26" t="str">
        <f>HYPERLINK("./new_k5/query_cmdrels_weight_analyze/0.2_0.5_0.3/au_133389.xlsx","au_133389")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HYPERLINK("./new_k5/query_cmdrels_weight_analyze/0.2_0.5_0.3/au_141277.xlsx","au_141277")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HYPERLINK("./new_k5/query_cmdrels_weight_analyze/0.2_0.5_0.3/au_143819.xlsx","au_143819")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HYPERLINK("./new_k5/query_cmdrels_weight_analyze/0.2_0.5_0.3/au_145935.xlsx","au_145935")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HYPERLINK("./new_k5/query_cmdrels_weight_analyze/0.2_0.5_0.3/au_147241.xlsx","au_147241")</f>
        <v>au_147241</v>
      </c>
      <c r="B30">
        <v>0</v>
      </c>
      <c r="C30">
        <v>0</v>
      </c>
      <c r="D30">
        <v>0.29166666666666657</v>
      </c>
      <c r="E30">
        <v>8.3333333333333329E-2</v>
      </c>
      <c r="F30">
        <v>0.29166666666666657</v>
      </c>
      <c r="G30">
        <v>0.18333333333333329</v>
      </c>
    </row>
    <row r="31" spans="1:7" x14ac:dyDescent="0.15">
      <c r="A31" t="str">
        <f>HYPERLINK("./new_k5/query_cmdrels_weight_analyze/0.2_0.5_0.3/au_147800.xlsx","au_147800")</f>
        <v>au_147800</v>
      </c>
      <c r="B31">
        <v>0</v>
      </c>
      <c r="C31">
        <v>0</v>
      </c>
      <c r="D31">
        <v>0.1111111111111111</v>
      </c>
      <c r="E31">
        <v>0.1111111111111111</v>
      </c>
      <c r="F31">
        <v>0.1111111111111111</v>
      </c>
      <c r="G31">
        <v>0.1111111111111111</v>
      </c>
    </row>
    <row r="32" spans="1:7" x14ac:dyDescent="0.15">
      <c r="A32" t="str">
        <f>HYPERLINK("./new_k5/query_cmdrels_weight_analyze/0.2_0.5_0.3/au_148321.xlsx","au_148321")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0.27777777777777768</v>
      </c>
    </row>
    <row r="33" spans="1:7" x14ac:dyDescent="0.15">
      <c r="A33" t="str">
        <f>HYPERLINK("./new_k5/query_cmdrels_weight_analyze/0.2_0.5_0.3/au_148638.xlsx","au_148638")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HYPERLINK("./new_k5/query_cmdrels_weight_analyze/0.2_0.5_0.3/au_151049.xlsx","au_151049")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HYPERLINK("./new_k5/query_cmdrels_weight_analyze/0.2_0.5_0.3/au_151941.xlsx","au_151941")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HYPERLINK("./new_k5/query_cmdrels_weight_analyze/0.2_0.5_0.3/au_152297.xlsx","au_152297")</f>
        <v>au_152297</v>
      </c>
      <c r="B36">
        <v>0</v>
      </c>
      <c r="C36">
        <v>0</v>
      </c>
      <c r="D36">
        <v>7.1428571428571425E-2</v>
      </c>
      <c r="E36">
        <v>0.16666666666666671</v>
      </c>
      <c r="F36">
        <v>7.1428571428571425E-2</v>
      </c>
      <c r="G36">
        <v>0.16666666666666671</v>
      </c>
    </row>
    <row r="37" spans="1:7" x14ac:dyDescent="0.15">
      <c r="A37" t="str">
        <f>HYPERLINK("./new_k5/query_cmdrels_weight_analyze/0.2_0.5_0.3/au_153976.xlsx","au_153976")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0.16666666666666671</v>
      </c>
      <c r="F37">
        <v>0.33333333333333331</v>
      </c>
      <c r="G37">
        <v>0.35</v>
      </c>
    </row>
    <row r="38" spans="1:7" x14ac:dyDescent="0.15">
      <c r="A38" t="str">
        <f>HYPERLINK("./new_k5/query_cmdrels_weight_analyze/0.2_0.5_0.3/au_154431.xlsx","au_154431")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HYPERLINK("./new_k5/query_cmdrels_weight_analyze/0.2_0.5_0.3/au_159708.xlsx","au_159708")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0.55555555555555547</v>
      </c>
      <c r="F39">
        <v>0.33333333333333331</v>
      </c>
      <c r="G39">
        <v>0.55555555555555547</v>
      </c>
    </row>
    <row r="40" spans="1:7" x14ac:dyDescent="0.15">
      <c r="A40" t="str">
        <f>HYPERLINK("./new_k5/query_cmdrels_weight_analyze/0.2_0.5_0.3/au_160869.xlsx","au_160869")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HYPERLINK("./new_k5/query_cmdrels_weight_analyze/0.2_0.5_0.3/au_161313.xlsx","au_161313")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0.125</v>
      </c>
    </row>
    <row r="42" spans="1:7" x14ac:dyDescent="0.15">
      <c r="A42" t="str">
        <f>HYPERLINK("./new_k5/query_cmdrels_weight_analyze/0.2_0.5_0.3/au_162075.xlsx","au_162075")</f>
        <v>au_162075</v>
      </c>
      <c r="B42">
        <v>0.25</v>
      </c>
      <c r="C42">
        <v>0</v>
      </c>
      <c r="D42">
        <v>0.5</v>
      </c>
      <c r="E42">
        <v>8.3333333333333329E-2</v>
      </c>
      <c r="F42">
        <v>0.5</v>
      </c>
      <c r="G42">
        <v>0.18333333333333329</v>
      </c>
    </row>
    <row r="43" spans="1:7" x14ac:dyDescent="0.15">
      <c r="A43" t="str">
        <f>HYPERLINK("./new_k5/query_cmdrels_weight_analyze/0.2_0.5_0.3/au_16277.xlsx","au_16277")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0.83333333333333337</v>
      </c>
    </row>
    <row r="44" spans="1:7" x14ac:dyDescent="0.15">
      <c r="A44" t="str">
        <f>HYPERLINK("./new_k5/query_cmdrels_weight_analyze/0.2_0.5_0.3/au_163155.xlsx","au_163155")</f>
        <v>au_163155</v>
      </c>
      <c r="B44">
        <v>0.125</v>
      </c>
      <c r="C44">
        <v>0.125</v>
      </c>
      <c r="D44">
        <v>0.375</v>
      </c>
      <c r="E44">
        <v>0.20833333333333329</v>
      </c>
      <c r="F44">
        <v>0.5</v>
      </c>
      <c r="G44">
        <v>0.40208333333333329</v>
      </c>
    </row>
    <row r="45" spans="1:7" x14ac:dyDescent="0.15">
      <c r="A45" t="str">
        <f>HYPERLINK("./new_k5/query_cmdrels_weight_analyze/0.2_0.5_0.3/au_164473.xlsx","au_164473")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HYPERLINK("./new_k5/query_cmdrels_weight_analyze/0.2_0.5_0.3/au_16584.xlsx","au_16584")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0.15151515151515149</v>
      </c>
      <c r="F46">
        <v>0.13636363636363641</v>
      </c>
      <c r="G46">
        <v>0.2196969696969697</v>
      </c>
    </row>
    <row r="47" spans="1:7" x14ac:dyDescent="0.15">
      <c r="A47" t="str">
        <f>HYPERLINK("./new_k5/query_cmdrels_weight_analyze/0.2_0.5_0.3/au_166420.xlsx","au_166420")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HYPERLINK("./new_k5/query_cmdrels_weight_analyze/0.2_0.5_0.3/au_169473.xlsx","au_169473")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0.33333333333333331</v>
      </c>
      <c r="F48">
        <v>0.43333333333333329</v>
      </c>
      <c r="G48">
        <v>0.33333333333333331</v>
      </c>
    </row>
    <row r="49" spans="1:7" x14ac:dyDescent="0.15">
      <c r="A49" t="str">
        <f>HYPERLINK("./new_k5/query_cmdrels_weight_analyze/0.2_0.5_0.3/au_169516.xlsx","au_169516")</f>
        <v>au_169516</v>
      </c>
      <c r="B49">
        <v>0.25</v>
      </c>
      <c r="C49">
        <v>0.25</v>
      </c>
      <c r="D49">
        <v>0.25</v>
      </c>
      <c r="E49">
        <v>0.5</v>
      </c>
      <c r="F49">
        <v>0.25</v>
      </c>
      <c r="G49">
        <v>0.5</v>
      </c>
    </row>
    <row r="50" spans="1:7" x14ac:dyDescent="0.15">
      <c r="A50" t="str">
        <f>HYPERLINK("./new_k5/query_cmdrels_weight_analyze/0.2_0.5_0.3/au_174292.xlsx","au_174292")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HYPERLINK("./new_k5/query_cmdrels_weight_analyze/0.2_0.5_0.3/au_178481.xlsx","au_178481")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HYPERLINK("./new_k5/query_cmdrels_weight_analyze/0.2_0.5_0.3/au_180925.xlsx","au_180925")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HYPERLINK("./new_k5/query_cmdrels_weight_analyze/0.2_0.5_0.3/au_187888.xlsx","au_187888")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HYPERLINK("./new_k5/query_cmdrels_weight_analyze/0.2_0.5_0.3/au_191390.xlsx","au_191390")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HYPERLINK("./new_k5/query_cmdrels_weight_analyze/0.2_0.5_0.3/au_192798.xlsx","au_192798")</f>
        <v>au_192798</v>
      </c>
      <c r="B55">
        <v>0</v>
      </c>
      <c r="C55">
        <v>0</v>
      </c>
      <c r="D55">
        <v>0</v>
      </c>
      <c r="E55">
        <v>0.5</v>
      </c>
      <c r="F55">
        <v>0</v>
      </c>
      <c r="G55">
        <v>0.5</v>
      </c>
    </row>
    <row r="56" spans="1:7" x14ac:dyDescent="0.15">
      <c r="A56" t="str">
        <f>HYPERLINK("./new_k5/query_cmdrels_weight_analyze/0.2_0.5_0.3/au_201775.xlsx","au_201775")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0.33333333333333331</v>
      </c>
      <c r="F56">
        <v>0.66666666666666663</v>
      </c>
      <c r="G56">
        <v>0.70000000000000007</v>
      </c>
    </row>
    <row r="57" spans="1:7" x14ac:dyDescent="0.15">
      <c r="A57" t="str">
        <f>HYPERLINK("./new_k5/query_cmdrels_weight_analyze/0.2_0.5_0.3/au_204166.xlsx","au_204166")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HYPERLINK("./new_k5/query_cmdrels_weight_analyze/0.2_0.5_0.3/au_207447.xlsx","au_207447")</f>
        <v>au_207447</v>
      </c>
      <c r="B58">
        <v>0.33333333333333331</v>
      </c>
      <c r="C58">
        <v>0</v>
      </c>
      <c r="D58">
        <v>0.33333333333333331</v>
      </c>
      <c r="E58">
        <v>0.16666666666666671</v>
      </c>
      <c r="F58">
        <v>0.33333333333333331</v>
      </c>
      <c r="G58">
        <v>0.16666666666666671</v>
      </c>
    </row>
    <row r="59" spans="1:7" x14ac:dyDescent="0.15">
      <c r="A59" t="str">
        <f>HYPERLINK("./new_k5/query_cmdrels_weight_analyze/0.2_0.5_0.3/au_210680.xlsx","au_210680")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HYPERLINK("./new_k5/query_cmdrels_weight_analyze/0.2_0.5_0.3/au_214246.xlsx","au_214246")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HYPERLINK("./new_k5/query_cmdrels_weight_analyze/0.2_0.5_0.3/au_214643.xlsx","au_214643")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HYPERLINK("./new_k5/query_cmdrels_weight_analyze/0.2_0.5_0.3/au_2194.xlsx","au_2194")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HYPERLINK("./new_k5/query_cmdrels_weight_analyze/0.2_0.5_0.3/au_221962.xlsx","au_221962")</f>
        <v>au_221962</v>
      </c>
      <c r="B63">
        <v>0</v>
      </c>
      <c r="C63">
        <v>0</v>
      </c>
      <c r="D63">
        <v>5.5555555555555552E-2</v>
      </c>
      <c r="E63">
        <v>8.3333333333333329E-2</v>
      </c>
      <c r="F63">
        <v>0.1388888888888889</v>
      </c>
      <c r="G63">
        <v>0.26666666666666672</v>
      </c>
    </row>
    <row r="64" spans="1:7" x14ac:dyDescent="0.15">
      <c r="A64" t="str">
        <f>HYPERLINK("./new_k5/query_cmdrels_weight_analyze/0.2_0.5_0.3/au_22608.xlsx","au_22608")</f>
        <v>au_22608</v>
      </c>
      <c r="B64">
        <v>0.33333333333333331</v>
      </c>
      <c r="C64">
        <v>0.33333333333333331</v>
      </c>
      <c r="D64">
        <v>0.33333333333333331</v>
      </c>
      <c r="E64">
        <v>0.33333333333333331</v>
      </c>
      <c r="F64">
        <v>0.33333333333333331</v>
      </c>
      <c r="G64">
        <v>0.5</v>
      </c>
    </row>
    <row r="65" spans="1:7" x14ac:dyDescent="0.15">
      <c r="A65" t="str">
        <f>HYPERLINK("./new_k5/query_cmdrels_weight_analyze/0.2_0.5_0.3/au_230698.xlsx","au_230698")</f>
        <v>au_230698</v>
      </c>
      <c r="B65">
        <v>0.125</v>
      </c>
      <c r="C65">
        <v>0.125</v>
      </c>
      <c r="D65">
        <v>0.25</v>
      </c>
      <c r="E65">
        <v>0.25</v>
      </c>
      <c r="F65">
        <v>0.32500000000000001</v>
      </c>
      <c r="G65">
        <v>0.34375</v>
      </c>
    </row>
    <row r="66" spans="1:7" x14ac:dyDescent="0.15">
      <c r="A66" t="str">
        <f>HYPERLINK("./new_k5/query_cmdrels_weight_analyze/0.2_0.5_0.3/au_232442.xlsx","au_232442")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HYPERLINK("./new_k5/query_cmdrels_weight_analyze/0.2_0.5_0.3/au_233378.xlsx","au_233378")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HYPERLINK("./new_k5/query_cmdrels_weight_analyze/0.2_0.5_0.3/au_24027.xlsx","au_24027")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HYPERLINK("./new_k5/query_cmdrels_weight_analyze/0.2_0.5_0.3/au_246647.xlsx","au_246647")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HYPERLINK("./new_k5/query_cmdrels_weight_analyze/0.2_0.5_0.3/au_254424.xlsx","au_254424")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HYPERLINK("./new_k5/query_cmdrels_weight_analyze/0.2_0.5_0.3/au_255890.xlsx","au_255890")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HYPERLINK("./new_k5/query_cmdrels_weight_analyze/0.2_0.5_0.3/au_257248.xlsx","au_257248")</f>
        <v>au_257248</v>
      </c>
      <c r="B72">
        <v>0</v>
      </c>
      <c r="C72">
        <v>0.14285714285714279</v>
      </c>
      <c r="D72">
        <v>0.16666666666666671</v>
      </c>
      <c r="E72">
        <v>0.23809523809523811</v>
      </c>
      <c r="F72">
        <v>0.25238095238095237</v>
      </c>
      <c r="G72">
        <v>0.34523809523809518</v>
      </c>
    </row>
    <row r="73" spans="1:7" x14ac:dyDescent="0.15">
      <c r="A73" t="str">
        <f>HYPERLINK("./new_k5/query_cmdrels_weight_analyze/0.2_0.5_0.3/au_259354.xlsx","au_259354")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0.42857142857142849</v>
      </c>
    </row>
    <row r="74" spans="1:7" x14ac:dyDescent="0.15">
      <c r="A74" t="str">
        <f>HYPERLINK("./new_k5/query_cmdrels_weight_analyze/0.2_0.5_0.3/au_263378.xlsx","au_263378")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0.5</v>
      </c>
    </row>
    <row r="75" spans="1:7" x14ac:dyDescent="0.15">
      <c r="A75" t="str">
        <f>HYPERLINK("./new_k5/query_cmdrels_weight_analyze/0.2_0.5_0.3/au_264215.xlsx","au_264215")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HYPERLINK("./new_k5/query_cmdrels_weight_analyze/0.2_0.5_0.3/au_265176.xlsx","au_265176")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HYPERLINK("./new_k5/query_cmdrels_weight_analyze/0.2_0.5_0.3/au_275704.xlsx","au_275704")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HYPERLINK("./new_k5/query_cmdrels_weight_analyze/0.2_0.5_0.3/au_276669.xlsx","au_276669")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HYPERLINK("./new_k5/query_cmdrels_weight_analyze/0.2_0.5_0.3/au_277565.xlsx","au_277565")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HYPERLINK("./new_k5/query_cmdrels_weight_analyze/0.2_0.5_0.3/au_278403.xlsx","au_278403")</f>
        <v>au_278403</v>
      </c>
      <c r="B80">
        <v>0</v>
      </c>
      <c r="C80">
        <v>0.25</v>
      </c>
      <c r="D80">
        <v>8.3333333333333329E-2</v>
      </c>
      <c r="E80">
        <v>0.25</v>
      </c>
      <c r="F80">
        <v>0.20833333333333329</v>
      </c>
      <c r="G80">
        <v>0.375</v>
      </c>
    </row>
    <row r="81" spans="1:7" x14ac:dyDescent="0.15">
      <c r="A81" t="str">
        <f>HYPERLINK("./new_k5/query_cmdrels_weight_analyze/0.2_0.5_0.3/au_28039.xlsx","au_28039")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HYPERLINK("./new_k5/query_cmdrels_weight_analyze/0.2_0.5_0.3/au_281509.xlsx","au_281509")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HYPERLINK("./new_k5/query_cmdrels_weight_analyze/0.2_0.5_0.3/au_282806.xlsx","au_282806")</f>
        <v>au_282806</v>
      </c>
      <c r="B83">
        <v>0</v>
      </c>
      <c r="C83">
        <v>0.33333333333333331</v>
      </c>
      <c r="D83">
        <v>0.38888888888888878</v>
      </c>
      <c r="E83">
        <v>0.55555555555555547</v>
      </c>
      <c r="F83">
        <v>0.38888888888888878</v>
      </c>
      <c r="G83">
        <v>0.80555555555555547</v>
      </c>
    </row>
    <row r="84" spans="1:7" x14ac:dyDescent="0.15">
      <c r="A84" t="str">
        <f>HYPERLINK("./new_k5/query_cmdrels_weight_analyze/0.2_0.5_0.3/au_283559.xlsx","au_283559")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HYPERLINK("./new_k5/query_cmdrels_weight_analyze/0.2_0.5_0.3/au_285539.xlsx","au_285539")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HYPERLINK("./new_k5/query_cmdrels_weight_analyze/0.2_0.5_0.3/au_287532.xlsx","au_287532")</f>
        <v>au_287532</v>
      </c>
      <c r="B86">
        <v>0</v>
      </c>
      <c r="C86">
        <v>0.25</v>
      </c>
      <c r="D86">
        <v>0</v>
      </c>
      <c r="E86">
        <v>0.41666666666666657</v>
      </c>
      <c r="F86">
        <v>0</v>
      </c>
      <c r="G86">
        <v>0.41666666666666657</v>
      </c>
    </row>
    <row r="87" spans="1:7" x14ac:dyDescent="0.15">
      <c r="A87" t="str">
        <f>HYPERLINK("./new_k5/query_cmdrels_weight_analyze/0.2_0.5_0.3/au_294257.xlsx","au_294257")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HYPERLINK("./new_k5/query_cmdrels_weight_analyze/0.2_0.5_0.3/au_296155.xlsx","au_296155")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HYPERLINK("./new_k5/query_cmdrels_weight_analyze/0.2_0.5_0.3/au_299975.xlsx","au_299975")</f>
        <v>au_299975</v>
      </c>
      <c r="B89">
        <v>0.25</v>
      </c>
      <c r="C89">
        <v>0</v>
      </c>
      <c r="D89">
        <v>0.5</v>
      </c>
      <c r="E89">
        <v>0.125</v>
      </c>
      <c r="F89">
        <v>0.6875</v>
      </c>
      <c r="G89">
        <v>0.25</v>
      </c>
    </row>
    <row r="90" spans="1:7" x14ac:dyDescent="0.15">
      <c r="A90" t="str">
        <f>HYPERLINK("./new_k5/query_cmdrels_weight_analyze/0.2_0.5_0.3/au_301096.xlsx","au_301096")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HYPERLINK("./new_k5/query_cmdrels_weight_analyze/0.2_0.5_0.3/au_303593.xlsx","au_303593")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HYPERLINK("./new_k5/query_cmdrels_weight_analyze/0.2_0.5_0.3/au_303849.xlsx","au_303849")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HYPERLINK("./new_k5/query_cmdrels_weight_analyze/0.2_0.5_0.3/au_307541.xlsx","au_307541")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HYPERLINK("./new_k5/query_cmdrels_weight_analyze/0.2_0.5_0.3/au_307688.xlsx","au_307688")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HYPERLINK("./new_k5/query_cmdrels_weight_analyze/0.2_0.5_0.3/au_309047.xlsx","au_309047")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HYPERLINK("./new_k5/query_cmdrels_weight_analyze/0.2_0.5_0.3/au_311558.xlsx","au_311558")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0.41666666666666657</v>
      </c>
    </row>
    <row r="97" spans="1:7" x14ac:dyDescent="0.15">
      <c r="A97" t="str">
        <f>HYPERLINK("./new_k5/query_cmdrels_weight_analyze/0.2_0.5_0.3/au_318973.xlsx","au_318973")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HYPERLINK("./new_k5/query_cmdrels_weight_analyze/0.2_0.5_0.3/au_3205.xlsx","au_3205")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HYPERLINK("./new_k5/query_cmdrels_weight_analyze/0.2_0.5_0.3/au_323131.xlsx","au_323131")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HYPERLINK("./new_k5/query_cmdrels_weight_analyze/0.2_0.5_0.3/au_323392.xlsx","au_323392")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HYPERLINK("./new_k5/query_cmdrels_weight_analyze/0.2_0.5_0.3/au_325368.xlsx","au_325368")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HYPERLINK("./new_k5/query_cmdrels_weight_analyze/0.2_0.5_0.3/au_328162.xlsx","au_328162")</f>
        <v>au_328162</v>
      </c>
      <c r="B102">
        <v>0.33333333333333331</v>
      </c>
      <c r="C102">
        <v>0.33333333333333331</v>
      </c>
      <c r="D102">
        <v>1</v>
      </c>
      <c r="E102">
        <v>0.33333333333333331</v>
      </c>
      <c r="F102">
        <v>1</v>
      </c>
      <c r="G102">
        <v>0.5</v>
      </c>
    </row>
    <row r="103" spans="1:7" x14ac:dyDescent="0.15">
      <c r="A103" t="str">
        <f>HYPERLINK("./new_k5/query_cmdrels_weight_analyze/0.2_0.5_0.3/au_330148.xlsx","au_330148")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HYPERLINK("./new_k5/query_cmdrels_weight_analyze/0.2_0.5_0.3/au_332315.xlsx","au_332315")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HYPERLINK("./new_k5/query_cmdrels_weight_analyze/0.2_0.5_0.3/au_334081.xlsx","au_334081")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HYPERLINK("./new_k5/query_cmdrels_weight_analyze/0.2_0.5_0.3/au_34077.xlsx","au_34077")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0.5</v>
      </c>
      <c r="F106">
        <v>0.33333333333333331</v>
      </c>
      <c r="G106">
        <v>0.6333333333333333</v>
      </c>
    </row>
    <row r="107" spans="1:7" x14ac:dyDescent="0.15">
      <c r="A107" t="str">
        <f>HYPERLINK("./new_k5/query_cmdrels_weight_analyze/0.2_0.5_0.3/au_341428.xlsx","au_341428")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HYPERLINK("./new_k5/query_cmdrels_weight_analyze/0.2_0.5_0.3/au_341584.xlsx","au_341584")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HYPERLINK("./new_k5/query_cmdrels_weight_analyze/0.2_0.5_0.3/au_346864.xlsx","au_346864")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0.14285714285714279</v>
      </c>
      <c r="F109">
        <v>0.23809523809523811</v>
      </c>
      <c r="G109">
        <v>0.2142857142857143</v>
      </c>
    </row>
    <row r="110" spans="1:7" x14ac:dyDescent="0.15">
      <c r="A110" t="str">
        <f>HYPERLINK("./new_k5/query_cmdrels_weight_analyze/0.2_0.5_0.3/au_351765.xlsx","au_351765")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0.5</v>
      </c>
    </row>
    <row r="111" spans="1:7" x14ac:dyDescent="0.15">
      <c r="A111" t="str">
        <f>HYPERLINK("./new_k5/query_cmdrels_weight_analyze/0.2_0.5_0.3/au_35922.xlsx","au_35922")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HYPERLINK("./new_k5/query_cmdrels_weight_analyze/0.2_0.5_0.3/au_359856.xlsx","au_359856")</f>
        <v>au_359856</v>
      </c>
      <c r="B112">
        <v>0.25</v>
      </c>
      <c r="C112">
        <v>0.25</v>
      </c>
      <c r="D112">
        <v>0.75</v>
      </c>
      <c r="E112">
        <v>0.25</v>
      </c>
      <c r="F112">
        <v>0.95</v>
      </c>
      <c r="G112">
        <v>0.375</v>
      </c>
    </row>
    <row r="113" spans="1:7" x14ac:dyDescent="0.15">
      <c r="A113" t="str">
        <f>HYPERLINK("./new_k5/query_cmdrels_weight_analyze/0.2_0.5_0.3/au_360423.xlsx","au_360423")</f>
        <v>au_360423</v>
      </c>
      <c r="B113">
        <v>0</v>
      </c>
      <c r="C113">
        <v>0</v>
      </c>
      <c r="D113">
        <v>0</v>
      </c>
      <c r="E113">
        <v>0.25</v>
      </c>
      <c r="F113">
        <v>0</v>
      </c>
      <c r="G113">
        <v>0.25</v>
      </c>
    </row>
    <row r="114" spans="1:7" x14ac:dyDescent="0.15">
      <c r="A114" t="str">
        <f>HYPERLINK("./new_k5/query_cmdrels_weight_analyze/0.2_0.5_0.3/au_36287.xlsx","au_36287")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HYPERLINK("./new_k5/query_cmdrels_weight_analyze/0.2_0.5_0.3/au_366742.xlsx","au_366742")</f>
        <v>au_366742</v>
      </c>
      <c r="B115">
        <v>0</v>
      </c>
      <c r="C115">
        <v>0</v>
      </c>
      <c r="D115">
        <v>0</v>
      </c>
      <c r="E115">
        <v>0.125</v>
      </c>
      <c r="F115">
        <v>0</v>
      </c>
      <c r="G115">
        <v>0.22500000000000001</v>
      </c>
    </row>
    <row r="116" spans="1:7" x14ac:dyDescent="0.15">
      <c r="A116" t="str">
        <f>HYPERLINK("./new_k5/query_cmdrels_weight_analyze/0.2_0.5_0.3/au_377937.xlsx","au_377937")</f>
        <v>au_377937</v>
      </c>
      <c r="B116">
        <v>0.25</v>
      </c>
      <c r="C116">
        <v>0.25</v>
      </c>
      <c r="D116">
        <v>0.5</v>
      </c>
      <c r="E116">
        <v>0.5</v>
      </c>
      <c r="F116">
        <v>0.5</v>
      </c>
      <c r="G116">
        <v>0.6875</v>
      </c>
    </row>
    <row r="117" spans="1:7" x14ac:dyDescent="0.15">
      <c r="A117" t="str">
        <f>HYPERLINK("./new_k5/query_cmdrels_weight_analyze/0.2_0.5_0.3/au_383997.xlsx","au_383997")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0.37142857142857139</v>
      </c>
    </row>
    <row r="118" spans="1:7" x14ac:dyDescent="0.15">
      <c r="A118" t="str">
        <f>HYPERLINK("./new_k5/query_cmdrels_weight_analyze/0.2_0.5_0.3/au_3883.xlsx","au_3883")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0.35</v>
      </c>
    </row>
    <row r="119" spans="1:7" x14ac:dyDescent="0.15">
      <c r="A119" t="str">
        <f>HYPERLINK("./new_k5/query_cmdrels_weight_analyze/0.2_0.5_0.3/au_396883.xlsx","au_396883")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HYPERLINK("./new_k5/query_cmdrels_weight_analyze/0.2_0.5_0.3/au_39760.xlsx","au_39760")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HYPERLINK("./new_k5/query_cmdrels_weight_analyze/0.2_0.5_0.3/au_398818.xlsx","au_398818")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HYPERLINK("./new_k5/query_cmdrels_weight_analyze/0.2_0.5_0.3/au_400807.xlsx","au_400807")</f>
        <v>au_400807</v>
      </c>
      <c r="B122">
        <v>0</v>
      </c>
      <c r="C122">
        <v>0.33333333333333331</v>
      </c>
      <c r="D122">
        <v>0.16666666666666671</v>
      </c>
      <c r="E122">
        <v>0.55555555555555547</v>
      </c>
      <c r="F122">
        <v>0.16666666666666671</v>
      </c>
      <c r="G122">
        <v>0.75555555555555554</v>
      </c>
    </row>
    <row r="123" spans="1:7" x14ac:dyDescent="0.15">
      <c r="A123" t="str">
        <f>HYPERLINK("./new_k5/query_cmdrels_weight_analyze/0.2_0.5_0.3/au_408611.xlsx","au_408611")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HYPERLINK("./new_k5/query_cmdrels_weight_analyze/0.2_0.5_0.3/au_414737.xlsx","au_414737")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HYPERLINK("./new_k5/query_cmdrels_weight_analyze/0.2_0.5_0.3/au_420722.xlsx","au_420722")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HYPERLINK("./new_k5/query_cmdrels_weight_analyze/0.2_0.5_0.3/au_423942.xlsx","au_423942")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HYPERLINK("./new_k5/query_cmdrels_weight_analyze/0.2_0.5_0.3/au_430382.xlsx","au_430382")</f>
        <v>au_430382</v>
      </c>
      <c r="B127">
        <v>0</v>
      </c>
      <c r="C127">
        <v>0</v>
      </c>
      <c r="D127">
        <v>0.29166666666666657</v>
      </c>
      <c r="E127">
        <v>0.29166666666666657</v>
      </c>
      <c r="F127">
        <v>0.29166666666666657</v>
      </c>
      <c r="G127">
        <v>0.29166666666666657</v>
      </c>
    </row>
    <row r="128" spans="1:7" x14ac:dyDescent="0.15">
      <c r="A128" t="str">
        <f>HYPERLINK("./new_k5/query_cmdrels_weight_analyze/0.2_0.5_0.3/au_432836.xlsx","au_432836")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HYPERLINK("./new_k5/query_cmdrels_weight_analyze/0.2_0.5_0.3/au_440326.xlsx","au_440326")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HYPERLINK("./new_k5/query_cmdrels_weight_analyze/0.2_0.5_0.3/au_442914.xlsx","au_442914")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HYPERLINK("./new_k5/query_cmdrels_weight_analyze/0.2_0.5_0.3/au_443227.xlsx","au_443227")</f>
        <v>au_443227</v>
      </c>
      <c r="B131">
        <v>0.5</v>
      </c>
      <c r="C131">
        <v>0</v>
      </c>
      <c r="D131">
        <v>0.5</v>
      </c>
      <c r="E131">
        <v>0</v>
      </c>
      <c r="F131">
        <v>0.5</v>
      </c>
      <c r="G131">
        <v>0.125</v>
      </c>
    </row>
    <row r="132" spans="1:7" x14ac:dyDescent="0.15">
      <c r="A132" t="str">
        <f>HYPERLINK("./new_k5/query_cmdrels_weight_analyze/0.2_0.5_0.3/au_44534.xlsx","au_44534")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HYPERLINK("./new_k5/query_cmdrels_weight_analyze/0.2_0.5_0.3/au_451805.xlsx","au_451805")</f>
        <v>au_451805</v>
      </c>
      <c r="B133">
        <v>0.33333333333333331</v>
      </c>
      <c r="C133">
        <v>0.33333333333333331</v>
      </c>
      <c r="D133">
        <v>0.33333333333333331</v>
      </c>
      <c r="E133">
        <v>0.33333333333333331</v>
      </c>
      <c r="F133">
        <v>0.33333333333333331</v>
      </c>
      <c r="G133">
        <v>0.33333333333333331</v>
      </c>
    </row>
    <row r="134" spans="1:7" x14ac:dyDescent="0.15">
      <c r="A134" t="str">
        <f>HYPERLINK("./new_k5/query_cmdrels_weight_analyze/0.2_0.5_0.3/au_464264.xlsx","au_464264")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0.16666666666666671</v>
      </c>
    </row>
    <row r="135" spans="1:7" x14ac:dyDescent="0.15">
      <c r="A135" t="str">
        <f>HYPERLINK("./new_k5/query_cmdrels_weight_analyze/0.2_0.5_0.3/au_468808.xlsx","au_468808")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HYPERLINK("./new_k5/query_cmdrels_weight_analyze/0.2_0.5_0.3/au_469143.xlsx","au_469143")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HYPERLINK("./new_k5/query_cmdrels_weight_analyze/0.2_0.5_0.3/au_470237.xlsx","au_470237")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HYPERLINK("./new_k5/query_cmdrels_weight_analyze/0.2_0.5_0.3/au_473037.xlsx","au_473037")</f>
        <v>au_473037</v>
      </c>
      <c r="B138">
        <v>0.5</v>
      </c>
      <c r="C138">
        <v>0.5</v>
      </c>
      <c r="D138">
        <v>0.83333333333333326</v>
      </c>
      <c r="E138">
        <v>0.5</v>
      </c>
      <c r="F138">
        <v>0.83333333333333326</v>
      </c>
      <c r="G138">
        <v>0.5</v>
      </c>
    </row>
    <row r="139" spans="1:7" x14ac:dyDescent="0.15">
      <c r="A139" t="str">
        <f>HYPERLINK("./new_k5/query_cmdrels_weight_analyze/0.2_0.5_0.3/au_48362.xlsx","au_48362")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HYPERLINK("./new_k5/query_cmdrels_weight_analyze/0.2_0.5_0.3/au_488435.xlsx","au_488435")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HYPERLINK("./new_k5/query_cmdrels_weight_analyze/0.2_0.5_0.3/au_493826.xlsx","au_493826")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HYPERLINK("./new_k5/query_cmdrels_weight_analyze/0.2_0.5_0.3/au_502110.xlsx","au_502110")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HYPERLINK("./new_k5/query_cmdrels_weight_analyze/0.2_0.5_0.3/au_50344.xlsx","au_50344")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HYPERLINK("./new_k5/query_cmdrels_weight_analyze/0.2_0.5_0.3/au_511467.xlsx","au_511467")</f>
        <v>au_511467</v>
      </c>
      <c r="B144">
        <v>0</v>
      </c>
      <c r="C144">
        <v>0.16666666666666671</v>
      </c>
      <c r="D144">
        <v>0.19444444444444439</v>
      </c>
      <c r="E144">
        <v>0.33333333333333331</v>
      </c>
      <c r="F144">
        <v>0.19444444444444439</v>
      </c>
      <c r="G144">
        <v>0.45833333333333331</v>
      </c>
    </row>
    <row r="145" spans="1:7" x14ac:dyDescent="0.15">
      <c r="A145" t="str">
        <f>HYPERLINK("./new_k5/query_cmdrels_weight_analyze/0.2_0.5_0.3/au_513046.xlsx","au_513046")</f>
        <v>au_513046</v>
      </c>
      <c r="B145">
        <v>0.25</v>
      </c>
      <c r="C145">
        <v>0</v>
      </c>
      <c r="D145">
        <v>0.5</v>
      </c>
      <c r="E145">
        <v>8.3333333333333329E-2</v>
      </c>
      <c r="F145">
        <v>0.5</v>
      </c>
      <c r="G145">
        <v>0.35833333333333328</v>
      </c>
    </row>
    <row r="146" spans="1:7" x14ac:dyDescent="0.15">
      <c r="A146" t="str">
        <f>HYPERLINK("./new_k5/query_cmdrels_weight_analyze/0.2_0.5_0.3/au_517354.xlsx","au_517354")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0.34523809523809518</v>
      </c>
    </row>
    <row r="147" spans="1:7" x14ac:dyDescent="0.15">
      <c r="A147" t="str">
        <f>HYPERLINK("./new_k5/query_cmdrels_weight_analyze/0.2_0.5_0.3/au_522431.xlsx","au_522431")</f>
        <v>au_522431</v>
      </c>
      <c r="B147">
        <v>0</v>
      </c>
      <c r="C147">
        <v>0.2</v>
      </c>
      <c r="D147">
        <v>0.23333333333333331</v>
      </c>
      <c r="E147">
        <v>0.33333333333333331</v>
      </c>
      <c r="F147">
        <v>0.54333333333333333</v>
      </c>
      <c r="G147">
        <v>0.48333333333333328</v>
      </c>
    </row>
    <row r="148" spans="1:7" x14ac:dyDescent="0.15">
      <c r="A148" t="str">
        <f>HYPERLINK("./new_k5/query_cmdrels_weight_analyze/0.2_0.5_0.3/au_52773.xlsx","au_52773")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0.05</v>
      </c>
    </row>
    <row r="149" spans="1:7" x14ac:dyDescent="0.15">
      <c r="A149" t="str">
        <f>HYPERLINK("./new_k5/query_cmdrels_weight_analyze/0.2_0.5_0.3/au_528411.xlsx","au_528411")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HYPERLINK("./new_k5/query_cmdrels_weight_analyze/0.2_0.5_0.3/au_53263.xlsx","au_53263")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1</v>
      </c>
    </row>
    <row r="151" spans="1:7" x14ac:dyDescent="0.15">
      <c r="A151" t="str">
        <f>HYPERLINK("./new_k5/query_cmdrels_weight_analyze/0.2_0.5_0.3/au_53444.xlsx","au_53444")</f>
        <v>au_53444</v>
      </c>
      <c r="B151">
        <v>0.5</v>
      </c>
      <c r="C151">
        <v>0</v>
      </c>
      <c r="D151">
        <v>0.5</v>
      </c>
      <c r="E151">
        <v>0.16666666666666671</v>
      </c>
      <c r="F151">
        <v>0.5</v>
      </c>
      <c r="G151">
        <v>0.16666666666666671</v>
      </c>
    </row>
    <row r="152" spans="1:7" x14ac:dyDescent="0.15">
      <c r="A152" t="str">
        <f>HYPERLINK("./new_k5/query_cmdrels_weight_analyze/0.2_0.5_0.3/au_538208.xlsx","au_538208")</f>
        <v>au_538208</v>
      </c>
      <c r="B152">
        <v>0.125</v>
      </c>
      <c r="C152">
        <v>0.125</v>
      </c>
      <c r="D152">
        <v>0.375</v>
      </c>
      <c r="E152">
        <v>0.25</v>
      </c>
      <c r="F152">
        <v>0.5</v>
      </c>
      <c r="G152">
        <v>0.44374999999999998</v>
      </c>
    </row>
    <row r="153" spans="1:7" x14ac:dyDescent="0.15">
      <c r="A153" t="str">
        <f>HYPERLINK("./new_k5/query_cmdrels_weight_analyze/0.2_0.5_0.3/au_53822.xlsx","au_53822")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HYPERLINK("./new_k5/query_cmdrels_weight_analyze/0.2_0.5_0.3/au_539243.xlsx","au_539243")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</v>
      </c>
    </row>
    <row r="155" spans="1:7" x14ac:dyDescent="0.15">
      <c r="A155" t="str">
        <f>HYPERLINK("./new_k5/query_cmdrels_weight_analyze/0.2_0.5_0.3/au_558280.xlsx","au_558280")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HYPERLINK("./new_k5/query_cmdrels_weight_analyze/0.2_0.5_0.3/au_558669.xlsx","au_558669")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HYPERLINK("./new_k5/query_cmdrels_weight_analyze/0.2_0.5_0.3/au_55868.xlsx","au_55868")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HYPERLINK("./new_k5/query_cmdrels_weight_analyze/0.2_0.5_0.3/au_561.xlsx","au_561")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0.5</v>
      </c>
    </row>
    <row r="159" spans="1:7" x14ac:dyDescent="0.15">
      <c r="A159" t="str">
        <f>HYPERLINK("./new_k5/query_cmdrels_weight_analyze/0.2_0.5_0.3/au_564567.xlsx","au_564567")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HYPERLINK("./new_k5/query_cmdrels_weight_analyze/0.2_0.5_0.3/au_57994.xlsx","au_57994")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0.23809523809523811</v>
      </c>
      <c r="F160">
        <v>0.5714285714285714</v>
      </c>
      <c r="G160">
        <v>0.45952380952380961</v>
      </c>
    </row>
    <row r="161" spans="1:7" x14ac:dyDescent="0.15">
      <c r="A161" t="str">
        <f>HYPERLINK("./new_k5/query_cmdrels_weight_analyze/0.2_0.5_0.3/au_589210.xlsx","au_589210")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0.375</v>
      </c>
    </row>
    <row r="162" spans="1:7" x14ac:dyDescent="0.15">
      <c r="A162" t="str">
        <f>HYPERLINK("./new_k5/query_cmdrels_weight_analyze/0.2_0.5_0.3/au_5911.xlsx","au_5911")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HYPERLINK("./new_k5/query_cmdrels_weight_analyze/0.2_0.5_0.3/au_59356.xlsx","au_59356")</f>
        <v>au_59356</v>
      </c>
      <c r="B163">
        <v>0</v>
      </c>
      <c r="C163">
        <v>0</v>
      </c>
      <c r="D163">
        <v>0.16666666666666671</v>
      </c>
      <c r="E163">
        <v>0</v>
      </c>
      <c r="F163">
        <v>0.16666666666666671</v>
      </c>
      <c r="G163">
        <v>0</v>
      </c>
    </row>
    <row r="164" spans="1:7" x14ac:dyDescent="0.15">
      <c r="A164" t="str">
        <f>HYPERLINK("./new_k5/query_cmdrels_weight_analyze/0.2_0.5_0.3/au_609850.xlsx","au_609850")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HYPERLINK("./new_k5/query_cmdrels_weight_analyze/0.2_0.5_0.3/au_61408.xlsx","au_61408")</f>
        <v>au_61408</v>
      </c>
      <c r="B165">
        <v>0</v>
      </c>
      <c r="C165">
        <v>0.33333333333333331</v>
      </c>
      <c r="D165">
        <v>0.16666666666666671</v>
      </c>
      <c r="E165">
        <v>0.33333333333333331</v>
      </c>
      <c r="F165">
        <v>0.16666666666666671</v>
      </c>
      <c r="G165">
        <v>0.33333333333333331</v>
      </c>
    </row>
    <row r="166" spans="1:7" x14ac:dyDescent="0.15">
      <c r="A166" t="str">
        <f>HYPERLINK("./new_k5/query_cmdrels_weight_analyze/0.2_0.5_0.3/au_617850.xlsx","au_617850")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HYPERLINK("./new_k5/query_cmdrels_weight_analyze/0.2_0.5_0.3/au_62073.xlsx","au_62073")</f>
        <v>au_62073</v>
      </c>
      <c r="B167">
        <v>0</v>
      </c>
      <c r="C167">
        <v>0.2</v>
      </c>
      <c r="D167">
        <v>0.23333333333333331</v>
      </c>
      <c r="E167">
        <v>0.33333333333333331</v>
      </c>
      <c r="F167">
        <v>0.23333333333333331</v>
      </c>
      <c r="G167">
        <v>0.45333333333333331</v>
      </c>
    </row>
    <row r="168" spans="1:7" x14ac:dyDescent="0.15">
      <c r="A168" t="str">
        <f>HYPERLINK("./new_k5/query_cmdrels_weight_analyze/0.2_0.5_0.3/au_620930.xlsx","au_620930")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0.45333333333333331</v>
      </c>
    </row>
    <row r="169" spans="1:7" x14ac:dyDescent="0.15">
      <c r="A169" t="str">
        <f>HYPERLINK("./new_k5/query_cmdrels_weight_analyze/0.2_0.5_0.3/au_62492.xlsx","au_62492")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HYPERLINK("./new_k5/query_cmdrels_weight_analyze/0.2_0.5_0.3/au_626078.xlsx","au_626078")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HYPERLINK("./new_k5/query_cmdrels_weight_analyze/0.2_0.5_0.3/au_636944.xlsx","au_636944")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HYPERLINK("./new_k5/query_cmdrels_weight_analyze/0.2_0.5_0.3/au_648603.xlsx","au_648603")</f>
        <v>au_648603</v>
      </c>
      <c r="B172">
        <v>0.25</v>
      </c>
      <c r="C172">
        <v>0.25</v>
      </c>
      <c r="D172">
        <v>0.25</v>
      </c>
      <c r="E172">
        <v>0.25</v>
      </c>
      <c r="F172">
        <v>0.25</v>
      </c>
      <c r="G172">
        <v>0.35</v>
      </c>
    </row>
    <row r="173" spans="1:7" x14ac:dyDescent="0.15">
      <c r="A173" t="str">
        <f>HYPERLINK("./new_k5/query_cmdrels_weight_analyze/0.2_0.5_0.3/au_65331.xlsx","au_65331")</f>
        <v>au_65331</v>
      </c>
      <c r="B173">
        <v>0</v>
      </c>
      <c r="C173">
        <v>0.16666666666666671</v>
      </c>
      <c r="D173">
        <v>8.3333333333333329E-2</v>
      </c>
      <c r="E173">
        <v>0.27777777777777768</v>
      </c>
      <c r="F173">
        <v>0.16666666666666671</v>
      </c>
      <c r="G173">
        <v>0.27777777777777768</v>
      </c>
    </row>
    <row r="174" spans="1:7" x14ac:dyDescent="0.15">
      <c r="A174" t="str">
        <f>HYPERLINK("./new_k5/query_cmdrels_weight_analyze/0.2_0.5_0.3/au_66000.xlsx","au_66000")</f>
        <v>au_66000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0.13</v>
      </c>
    </row>
    <row r="175" spans="1:7" x14ac:dyDescent="0.15">
      <c r="A175" t="str">
        <f>HYPERLINK("./new_k5/query_cmdrels_weight_analyze/0.2_0.5_0.3/au_660846.xlsx","au_660846")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HYPERLINK("./new_k5/query_cmdrels_weight_analyze/0.2_0.5_0.3/au_662935.xlsx","au_662935")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0.34375</v>
      </c>
    </row>
    <row r="177" spans="1:7" x14ac:dyDescent="0.15">
      <c r="A177" t="str">
        <f>HYPERLINK("./new_k5/query_cmdrels_weight_analyze/0.2_0.5_0.3/au_67663.xlsx","au_67663")</f>
        <v>au_67663</v>
      </c>
      <c r="B177">
        <v>0</v>
      </c>
      <c r="C177">
        <v>0.25</v>
      </c>
      <c r="D177">
        <v>0.29166666666666657</v>
      </c>
      <c r="E177">
        <v>0.75</v>
      </c>
      <c r="F177">
        <v>0.29166666666666657</v>
      </c>
      <c r="G177">
        <v>0.75</v>
      </c>
    </row>
    <row r="178" spans="1:7" x14ac:dyDescent="0.15">
      <c r="A178" t="str">
        <f>HYPERLINK("./new_k5/query_cmdrels_weight_analyze/0.2_0.5_0.3/au_68028.xlsx","au_68028")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0.42857142857142849</v>
      </c>
      <c r="F178">
        <v>0.37142857142857139</v>
      </c>
      <c r="G178">
        <v>0.42857142857142849</v>
      </c>
    </row>
    <row r="179" spans="1:7" x14ac:dyDescent="0.15">
      <c r="A179" t="str">
        <f>HYPERLINK("./new_k5/query_cmdrels_weight_analyze/0.2_0.5_0.3/au_681312.xlsx","au_681312")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0.23809523809523811</v>
      </c>
      <c r="F179">
        <v>0.42857142857142849</v>
      </c>
      <c r="G179">
        <v>0.34523809523809518</v>
      </c>
    </row>
    <row r="180" spans="1:7" x14ac:dyDescent="0.15">
      <c r="A180" t="str">
        <f>HYPERLINK("./new_k5/query_cmdrels_weight_analyze/0.2_0.5_0.3/au_686239.xlsx","au_686239")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0.25</v>
      </c>
    </row>
    <row r="181" spans="1:7" x14ac:dyDescent="0.15">
      <c r="A181" t="str">
        <f>HYPERLINK("./new_k5/query_cmdrels_weight_analyze/0.2_0.5_0.3/au_68809.xlsx","au_68809")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0.28333333333333333</v>
      </c>
    </row>
    <row r="182" spans="1:7" x14ac:dyDescent="0.15">
      <c r="A182" t="str">
        <f>HYPERLINK("./new_k5/query_cmdrels_weight_analyze/0.2_0.5_0.3/au_69556.xlsx","au_69556")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HYPERLINK("./new_k5/query_cmdrels_weight_analyze/0.2_0.5_0.3/au_698993.xlsx","au_698993")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HYPERLINK("./new_k5/query_cmdrels_weight_analyze/0.2_0.5_0.3/au_707881.xlsx","au_707881")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HYPERLINK("./new_k5/query_cmdrels_weight_analyze/0.2_0.5_0.3/au_709594.xlsx","au_709594")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HYPERLINK("./new_k5/query_cmdrels_weight_analyze/0.2_0.5_0.3/au_71309.xlsx","au_71309")</f>
        <v>au_71309</v>
      </c>
      <c r="B186">
        <v>0.125</v>
      </c>
      <c r="C186">
        <v>0.125</v>
      </c>
      <c r="D186">
        <v>0.20833333333333329</v>
      </c>
      <c r="E186">
        <v>0.375</v>
      </c>
      <c r="F186">
        <v>0.20833333333333329</v>
      </c>
      <c r="G186">
        <v>0.375</v>
      </c>
    </row>
    <row r="187" spans="1:7" x14ac:dyDescent="0.15">
      <c r="A187" t="str">
        <f>HYPERLINK("./new_k5/query_cmdrels_weight_analyze/0.2_0.5_0.3/au_7138.xlsx","au_7138")</f>
        <v>au_7138</v>
      </c>
      <c r="B187">
        <v>0.25</v>
      </c>
      <c r="C187">
        <v>0</v>
      </c>
      <c r="D187">
        <v>0.75</v>
      </c>
      <c r="E187">
        <v>0</v>
      </c>
      <c r="F187">
        <v>0.75</v>
      </c>
      <c r="G187">
        <v>6.25E-2</v>
      </c>
    </row>
    <row r="188" spans="1:7" x14ac:dyDescent="0.15">
      <c r="A188" t="str">
        <f>HYPERLINK("./new_k5/query_cmdrels_weight_analyze/0.2_0.5_0.3/au_72549.xlsx","au_72549")</f>
        <v>au_72549</v>
      </c>
      <c r="B188">
        <v>0</v>
      </c>
      <c r="C188">
        <v>0</v>
      </c>
      <c r="D188">
        <v>0</v>
      </c>
      <c r="E188">
        <v>0.125</v>
      </c>
      <c r="F188">
        <v>0</v>
      </c>
      <c r="G188">
        <v>0.125</v>
      </c>
    </row>
    <row r="189" spans="1:7" x14ac:dyDescent="0.15">
      <c r="A189" t="str">
        <f>HYPERLINK("./new_k5/query_cmdrels_weight_analyze/0.2_0.5_0.3/au_740805.xlsx","au_740805")</f>
        <v>au_740805</v>
      </c>
      <c r="B189">
        <v>0.25</v>
      </c>
      <c r="C189">
        <v>0</v>
      </c>
      <c r="D189">
        <v>0.41666666666666657</v>
      </c>
      <c r="E189">
        <v>8.3333333333333329E-2</v>
      </c>
      <c r="F189">
        <v>0.41666666666666657</v>
      </c>
      <c r="G189">
        <v>0.18333333333333329</v>
      </c>
    </row>
    <row r="190" spans="1:7" x14ac:dyDescent="0.15">
      <c r="A190" t="str">
        <f>HYPERLINK("./new_k5/query_cmdrels_weight_analyze/0.2_0.5_0.3/au_760796.xlsx","au_760796")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HYPERLINK("./new_k5/query_cmdrels_weight_analyze/0.2_0.5_0.3/au_762846.xlsx","au_762846")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0.43333333333333329</v>
      </c>
    </row>
    <row r="192" spans="1:7" x14ac:dyDescent="0.15">
      <c r="A192" t="str">
        <f>HYPERLINK("./new_k5/query_cmdrels_weight_analyze/0.2_0.5_0.3/au_767786.xlsx","au_767786")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0.76</v>
      </c>
    </row>
    <row r="193" spans="1:7" x14ac:dyDescent="0.15">
      <c r="A193" t="str">
        <f>HYPERLINK("./new_k5/query_cmdrels_weight_analyze/0.2_0.5_0.3/au_778906.xlsx","au_778906")</f>
        <v>au_778906</v>
      </c>
      <c r="B193">
        <v>0.2</v>
      </c>
      <c r="C193">
        <v>0.2</v>
      </c>
      <c r="D193">
        <v>0.33333333333333331</v>
      </c>
      <c r="E193">
        <v>0.6</v>
      </c>
      <c r="F193">
        <v>0.33333333333333331</v>
      </c>
      <c r="G193">
        <v>0.6</v>
      </c>
    </row>
    <row r="194" spans="1:7" x14ac:dyDescent="0.15">
      <c r="A194" t="str">
        <f>HYPERLINK("./new_k5/query_cmdrels_weight_analyze/0.2_0.5_0.3/au_818929.xlsx","au_818929")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0.42</v>
      </c>
    </row>
    <row r="195" spans="1:7" x14ac:dyDescent="0.15">
      <c r="A195" t="str">
        <f>HYPERLINK("./new_k5/query_cmdrels_weight_analyze/0.2_0.5_0.3/au_844876.xlsx","au_844876")</f>
        <v>au_844876</v>
      </c>
      <c r="B195">
        <v>0.5</v>
      </c>
      <c r="C195">
        <v>0.5</v>
      </c>
      <c r="D195">
        <v>0.5</v>
      </c>
      <c r="E195">
        <v>0.83333333333333326</v>
      </c>
      <c r="F195">
        <v>0.5</v>
      </c>
      <c r="G195">
        <v>0.83333333333333326</v>
      </c>
    </row>
    <row r="196" spans="1:7" x14ac:dyDescent="0.15">
      <c r="A196" t="str">
        <f>HYPERLINK("./new_k5/query_cmdrels_weight_analyze/0.2_0.5_0.3/au_85318.xlsx","au_85318")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0.4</v>
      </c>
    </row>
    <row r="197" spans="1:7" x14ac:dyDescent="0.15">
      <c r="A197" t="str">
        <f>HYPERLINK("./new_k5/query_cmdrels_weight_analyze/0.2_0.5_0.3/au_854332.xlsx","au_854332")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HYPERLINK("./new_k5/query_cmdrels_weight_analyze/0.2_0.5_0.3/au_854373.xlsx","au_854373")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HYPERLINK("./new_k5/query_cmdrels_weight_analyze/0.2_0.5_0.3/au_86843.xlsx","au_86843")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HYPERLINK("./new_k5/query_cmdrels_weight_analyze/0.2_0.5_0.3/au_88108.xlsx","au_88108")</f>
        <v>au_88108</v>
      </c>
      <c r="B200">
        <v>0</v>
      </c>
      <c r="C200">
        <v>0</v>
      </c>
      <c r="D200">
        <v>0.1</v>
      </c>
      <c r="E200">
        <v>6.6666666666666666E-2</v>
      </c>
      <c r="F200">
        <v>0.1</v>
      </c>
      <c r="G200">
        <v>6.6666666666666666E-2</v>
      </c>
    </row>
    <row r="201" spans="1:7" x14ac:dyDescent="0.15">
      <c r="A201" t="str">
        <f>HYPERLINK("./new_k5/query_cmdrels_weight_analyze/0.2_0.5_0.3/au_90214.xlsx","au_90214")</f>
        <v>au_90214</v>
      </c>
      <c r="B201">
        <v>0</v>
      </c>
      <c r="C201">
        <v>0</v>
      </c>
      <c r="D201">
        <v>0.16666666666666671</v>
      </c>
      <c r="E201">
        <v>0.1111111111111111</v>
      </c>
      <c r="F201">
        <v>0.16666666666666671</v>
      </c>
      <c r="G201">
        <v>0.24444444444444449</v>
      </c>
    </row>
    <row r="202" spans="1:7" x14ac:dyDescent="0.15">
      <c r="A202" t="str">
        <f>HYPERLINK("./new_k5/query_cmdrels_weight_analyze/0.2_0.5_0.3/au_90339.xlsx","au_90339")</f>
        <v>au_90339</v>
      </c>
      <c r="B202">
        <v>0</v>
      </c>
      <c r="C202">
        <v>0.14285714285714279</v>
      </c>
      <c r="D202">
        <v>4.7619047619047623E-2</v>
      </c>
      <c r="E202">
        <v>0.42857142857142849</v>
      </c>
      <c r="F202">
        <v>0.2047619047619047</v>
      </c>
      <c r="G202">
        <v>0.54285714285714282</v>
      </c>
    </row>
    <row r="203" spans="1:7" x14ac:dyDescent="0.15">
      <c r="A203" t="str">
        <f>HYPERLINK("./new_k5/query_cmdrels_weight_analyze/0.2_0.5_0.3/au_91286.xlsx","au_91286")</f>
        <v>au_91286</v>
      </c>
      <c r="B203">
        <v>0.5</v>
      </c>
      <c r="C203">
        <v>0</v>
      </c>
      <c r="D203">
        <v>0.5</v>
      </c>
      <c r="E203">
        <v>0.16666666666666671</v>
      </c>
      <c r="F203">
        <v>0.5</v>
      </c>
      <c r="G203">
        <v>0.16666666666666671</v>
      </c>
    </row>
    <row r="204" spans="1:7" x14ac:dyDescent="0.15">
      <c r="A204" t="str">
        <f>HYPERLINK("./new_k5/query_cmdrels_weight_analyze/0.2_0.5_0.3/au_9135.xlsx","au_9135")</f>
        <v>au_9135</v>
      </c>
      <c r="B204">
        <v>0.1</v>
      </c>
      <c r="C204">
        <v>0.1</v>
      </c>
      <c r="D204">
        <v>0.16666666666666671</v>
      </c>
      <c r="E204">
        <v>0.16666666666666671</v>
      </c>
      <c r="F204">
        <v>0.24166666666666661</v>
      </c>
      <c r="G204">
        <v>0.32166666666666671</v>
      </c>
    </row>
    <row r="205" spans="1:7" x14ac:dyDescent="0.15">
      <c r="A205" t="str">
        <f>HYPERLINK("./new_k5/query_cmdrels_weight_analyze/0.2_0.5_0.3/au_935569.xlsx","au_935569")</f>
        <v>au_935569</v>
      </c>
      <c r="B205">
        <v>0.14285714285714279</v>
      </c>
      <c r="C205">
        <v>0</v>
      </c>
      <c r="D205">
        <v>0.42857142857142849</v>
      </c>
      <c r="E205">
        <v>0.16666666666666671</v>
      </c>
      <c r="F205">
        <v>0.54285714285714282</v>
      </c>
      <c r="G205">
        <v>0.16666666666666671</v>
      </c>
    </row>
    <row r="206" spans="1:7" x14ac:dyDescent="0.15">
      <c r="A206" t="str">
        <f>HYPERLINK("./new_k5/query_cmdrels_weight_analyze/0.2_0.5_0.3/au_97936.xlsx","au_97936")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HYPERLINK("./new_k5/query_cmdrels_weight_analyze/0.2_0.5_0.3/so_10235778.xlsx","so_10235778")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HYPERLINK("./new_k5/query_cmdrels_weight_analyze/0.2_0.5_0.3/so_1045910.xlsx","so_1045910")</f>
        <v>so_1045910</v>
      </c>
      <c r="B208">
        <v>0.25</v>
      </c>
      <c r="C208">
        <v>0</v>
      </c>
      <c r="D208">
        <v>0.25</v>
      </c>
      <c r="E208">
        <v>0.125</v>
      </c>
      <c r="F208">
        <v>0.25</v>
      </c>
      <c r="G208">
        <v>0.25</v>
      </c>
    </row>
    <row r="209" spans="1:7" x14ac:dyDescent="0.15">
      <c r="A209" t="str">
        <f>HYPERLINK("./new_k5/query_cmdrels_weight_analyze/0.2_0.5_0.3/so_10557360.xlsx","so_10557360")</f>
        <v>so_10557360</v>
      </c>
      <c r="B209">
        <v>0</v>
      </c>
      <c r="C209">
        <v>0</v>
      </c>
      <c r="D209">
        <v>0</v>
      </c>
      <c r="E209">
        <v>0.1</v>
      </c>
      <c r="F209">
        <v>0</v>
      </c>
      <c r="G209">
        <v>0.1</v>
      </c>
    </row>
    <row r="210" spans="1:7" x14ac:dyDescent="0.15">
      <c r="A210" t="str">
        <f>HYPERLINK("./new_k5/query_cmdrels_weight_analyze/0.2_0.5_0.3/so_1058047.xlsx","so_1058047")</f>
        <v>so_1058047</v>
      </c>
      <c r="B210">
        <v>0.25</v>
      </c>
      <c r="C210">
        <v>0.25</v>
      </c>
      <c r="D210">
        <v>0.25</v>
      </c>
      <c r="E210">
        <v>0.41666666666666657</v>
      </c>
      <c r="F210">
        <v>0.25</v>
      </c>
      <c r="G210">
        <v>0.41666666666666657</v>
      </c>
    </row>
    <row r="211" spans="1:7" x14ac:dyDescent="0.15">
      <c r="A211" t="str">
        <f>HYPERLINK("./new_k5/query_cmdrels_weight_analyze/0.2_0.5_0.3/so_10829402.xlsx","so_10829402")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HYPERLINK("./new_k5/query_cmdrels_weight_analyze/0.2_0.5_0.3/so_1088098.xlsx","so_1088098")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0.25</v>
      </c>
    </row>
    <row r="213" spans="1:7" x14ac:dyDescent="0.15">
      <c r="A213" t="str">
        <f>HYPERLINK("./new_k5/query_cmdrels_weight_analyze/0.2_0.5_0.3/so_10990949.xlsx","so_10990949")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0.7</v>
      </c>
    </row>
    <row r="214" spans="1:7" x14ac:dyDescent="0.15">
      <c r="A214" t="str">
        <f>HYPERLINK("./new_k5/query_cmdrels_weight_analyze/0.2_0.5_0.3/so_11211705.xlsx","so_11211705")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HYPERLINK("./new_k5/query_cmdrels_weight_analyze/0.2_0.5_0.3/so_112932.xlsx","so_112932")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HYPERLINK("./new_k5/query_cmdrels_weight_analyze/0.2_0.5_0.3/so_11392189.xlsx","so_11392189")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0.18333333333333329</v>
      </c>
    </row>
    <row r="217" spans="1:7" x14ac:dyDescent="0.15">
      <c r="A217" t="str">
        <f>HYPERLINK("./new_k5/query_cmdrels_weight_analyze/0.2_0.5_0.3/so_1183183.xlsx","so_1183183")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HYPERLINK("./new_k5/query_cmdrels_weight_analyze/0.2_0.5_0.3/so_1194882.xlsx","so_1194882")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HYPERLINK("./new_k5/query_cmdrels_weight_analyze/0.2_0.5_0.3/so_12120935.xlsx","so_12120935")</f>
        <v>so_12120935</v>
      </c>
      <c r="B219">
        <v>0.25</v>
      </c>
      <c r="C219">
        <v>0.25</v>
      </c>
      <c r="D219">
        <v>0.41666666666666657</v>
      </c>
      <c r="E219">
        <v>0.5</v>
      </c>
      <c r="F219">
        <v>0.41666666666666657</v>
      </c>
      <c r="G219">
        <v>0.6875</v>
      </c>
    </row>
    <row r="220" spans="1:7" x14ac:dyDescent="0.15">
      <c r="A220" t="str">
        <f>HYPERLINK("./new_k5/query_cmdrels_weight_analyze/0.2_0.5_0.3/so_12313384.xlsx","so_12313384")</f>
        <v>so_12313384</v>
      </c>
      <c r="B220">
        <v>0</v>
      </c>
      <c r="C220">
        <v>0.33333333333333331</v>
      </c>
      <c r="D220">
        <v>0.16666666666666671</v>
      </c>
      <c r="E220">
        <v>0.66666666666666663</v>
      </c>
      <c r="F220">
        <v>0.16666666666666671</v>
      </c>
      <c r="G220">
        <v>0.66666666666666663</v>
      </c>
    </row>
    <row r="221" spans="1:7" x14ac:dyDescent="0.15">
      <c r="A221" t="str">
        <f>HYPERLINK("./new_k5/query_cmdrels_weight_analyze/0.2_0.5_0.3/so_12392598.xlsx","so_12392598")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0.42857142857142849</v>
      </c>
      <c r="F221">
        <v>0.2857142857142857</v>
      </c>
      <c r="G221">
        <v>0.54285714285714282</v>
      </c>
    </row>
    <row r="222" spans="1:7" x14ac:dyDescent="0.15">
      <c r="A222" t="str">
        <f>HYPERLINK("./new_k5/query_cmdrels_weight_analyze/0.2_0.5_0.3/so_1241801.xlsx","so_1241801")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HYPERLINK("./new_k5/query_cmdrels_weight_analyze/0.2_0.5_0.3/so_12522269.xlsx","so_12522269")</f>
        <v>so_12522269</v>
      </c>
      <c r="B223">
        <v>0.2</v>
      </c>
      <c r="C223">
        <v>0.2</v>
      </c>
      <c r="D223">
        <v>0.2</v>
      </c>
      <c r="E223">
        <v>0.2</v>
      </c>
      <c r="F223">
        <v>0.28000000000000003</v>
      </c>
      <c r="G223">
        <v>0.2</v>
      </c>
    </row>
    <row r="224" spans="1:7" x14ac:dyDescent="0.15">
      <c r="A224" t="str">
        <f>HYPERLINK("./new_k5/query_cmdrels_weight_analyze/0.2_0.5_0.3/so_1293907.xlsx","so_1293907")</f>
        <v>so_1293907</v>
      </c>
      <c r="B224">
        <v>0</v>
      </c>
      <c r="C224">
        <v>0.33333333333333331</v>
      </c>
      <c r="D224">
        <v>0</v>
      </c>
      <c r="E224">
        <v>0.66666666666666663</v>
      </c>
      <c r="F224">
        <v>8.3333333333333329E-2</v>
      </c>
      <c r="G224">
        <v>0.8666666666666667</v>
      </c>
    </row>
    <row r="225" spans="1:7" x14ac:dyDescent="0.15">
      <c r="A225" t="str">
        <f>HYPERLINK("./new_k5/query_cmdrels_weight_analyze/0.2_0.5_0.3/so_13428910.xlsx","so_13428910")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HYPERLINK("./new_k5/query_cmdrels_weight_analyze/0.2_0.5_0.3/so_135688.xlsx","so_135688")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HYPERLINK("./new_k5/query_cmdrels_weight_analyze/0.2_0.5_0.3/so_13778273.xlsx","so_13778273")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HYPERLINK("./new_k5/query_cmdrels_weight_analyze/0.2_0.5_0.3/so_1405611.xlsx","so_1405611")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0.1111111111111111</v>
      </c>
      <c r="F228">
        <v>0.33333333333333331</v>
      </c>
      <c r="G228">
        <v>0.1111111111111111</v>
      </c>
    </row>
    <row r="229" spans="1:7" x14ac:dyDescent="0.15">
      <c r="A229" t="str">
        <f>HYPERLINK("./new_k5/query_cmdrels_weight_analyze/0.2_0.5_0.3/so_14300794.xlsx","so_14300794")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HYPERLINK("./new_k5/query_cmdrels_weight_analyze/0.2_0.5_0.3/so_143791.xlsx","so_143791")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HYPERLINK("./new_k5/query_cmdrels_weight_analyze/0.2_0.5_0.3/so_14750650.xlsx","so_14750650")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6.25E-2</v>
      </c>
    </row>
    <row r="232" spans="1:7" x14ac:dyDescent="0.15">
      <c r="A232" t="str">
        <f>HYPERLINK("./new_k5/query_cmdrels_weight_analyze/0.2_0.5_0.3/so_14978411.xlsx","so_14978411")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HYPERLINK("./new_k5/query_cmdrels_weight_analyze/0.2_0.5_0.3/so_15236308.xlsx","so_15236308")</f>
        <v>so_15236308</v>
      </c>
      <c r="B233">
        <v>0.25</v>
      </c>
      <c r="C233">
        <v>0.25</v>
      </c>
      <c r="D233">
        <v>0.25</v>
      </c>
      <c r="E233">
        <v>0.5</v>
      </c>
      <c r="F233">
        <v>0.25</v>
      </c>
      <c r="G233">
        <v>0.6875</v>
      </c>
    </row>
    <row r="234" spans="1:7" x14ac:dyDescent="0.15">
      <c r="A234" t="str">
        <f>HYPERLINK("./new_k5/query_cmdrels_weight_analyze/0.2_0.5_0.3/so_15286947.xlsx","so_15286947")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HYPERLINK("./new_k5/query_cmdrels_weight_analyze/0.2_0.5_0.3/so_15402770.xlsx","so_15402770")</f>
        <v>so_15402770</v>
      </c>
      <c r="B235">
        <v>0</v>
      </c>
      <c r="C235">
        <v>0.16666666666666671</v>
      </c>
      <c r="D235">
        <v>0.19444444444444439</v>
      </c>
      <c r="E235">
        <v>0.27777777777777768</v>
      </c>
      <c r="F235">
        <v>0.19444444444444439</v>
      </c>
      <c r="G235">
        <v>0.40277777777777768</v>
      </c>
    </row>
    <row r="236" spans="1:7" x14ac:dyDescent="0.15">
      <c r="A236" t="str">
        <f>HYPERLINK("./new_k5/query_cmdrels_weight_analyze/0.2_0.5_0.3/so_1570262.xlsx","so_1570262")</f>
        <v>so_1570262</v>
      </c>
      <c r="B236">
        <v>0</v>
      </c>
      <c r="C236">
        <v>0</v>
      </c>
      <c r="D236">
        <v>0</v>
      </c>
      <c r="E236">
        <v>6.6666666666666666E-2</v>
      </c>
      <c r="F236">
        <v>0</v>
      </c>
      <c r="G236">
        <v>0.1466666666666667</v>
      </c>
    </row>
    <row r="237" spans="1:7" x14ac:dyDescent="0.15">
      <c r="A237" t="str">
        <f>HYPERLINK("./new_k5/query_cmdrels_weight_analyze/0.2_0.5_0.3/so_1583219.xlsx","so_1583219")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HYPERLINK("./new_k5/query_cmdrels_weight_analyze/0.2_0.5_0.3/so_15872543.xlsx","so_15872543")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HYPERLINK("./new_k5/query_cmdrels_weight_analyze/0.2_0.5_0.3/so_16038087.xlsx","so_16038087")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0.14285714285714279</v>
      </c>
      <c r="F239">
        <v>0.2857142857142857</v>
      </c>
      <c r="G239">
        <v>0.14285714285714279</v>
      </c>
    </row>
    <row r="240" spans="1:7" x14ac:dyDescent="0.15">
      <c r="A240" t="str">
        <f>HYPERLINK("./new_k5/query_cmdrels_weight_analyze/0.2_0.5_0.3/so_16212656.xlsx","so_16212656")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HYPERLINK("./new_k5/query_cmdrels_weight_analyze/0.2_0.5_0.3/so_16575419.xlsx","so_16575419")</f>
        <v>so_16575419</v>
      </c>
      <c r="B241">
        <v>0.25</v>
      </c>
      <c r="C241">
        <v>0.25</v>
      </c>
      <c r="D241">
        <v>0.25</v>
      </c>
      <c r="E241">
        <v>0.75</v>
      </c>
      <c r="F241">
        <v>0.25</v>
      </c>
      <c r="G241">
        <v>0.75</v>
      </c>
    </row>
    <row r="242" spans="1:7" x14ac:dyDescent="0.15">
      <c r="A242" t="str">
        <f>HYPERLINK("./new_k5/query_cmdrels_weight_analyze/0.2_0.5_0.3/so_17582768.xlsx","so_17582768")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8.3333333333333329E-2</v>
      </c>
    </row>
    <row r="243" spans="1:7" x14ac:dyDescent="0.15">
      <c r="A243" t="str">
        <f>HYPERLINK("./new_k5/query_cmdrels_weight_analyze/0.2_0.5_0.3/so_17607612.xlsx","so_17607612")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HYPERLINK("./new_k5/query_cmdrels_weight_analyze/0.2_0.5_0.3/so_17829785.xlsx","so_17829785")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HYPERLINK("./new_k5/query_cmdrels_weight_analyze/0.2_0.5_0.3/so_1839841.xlsx","so_1839841")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HYPERLINK("./new_k5/query_cmdrels_weight_analyze/0.2_0.5_0.3/so_18468716.xlsx","so_18468716")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0.46666666666666662</v>
      </c>
    </row>
    <row r="247" spans="1:7" x14ac:dyDescent="0.15">
      <c r="A247" t="str">
        <f>HYPERLINK("./new_k5/query_cmdrels_weight_analyze/0.2_0.5_0.3/so_19196105.xlsx","so_19196105")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0.19166666666666671</v>
      </c>
    </row>
    <row r="248" spans="1:7" x14ac:dyDescent="0.15">
      <c r="A248" t="str">
        <f>HYPERLINK("./new_k5/query_cmdrels_weight_analyze/0.2_0.5_0.3/so_19482123.xlsx","so_19482123")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HYPERLINK("./new_k5/query_cmdrels_weight_analyze/0.2_0.5_0.3/so_1975849.xlsx","so_1975849")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HYPERLINK("./new_k5/query_cmdrels_weight_analyze/0.2_0.5_0.3/so_212528.xlsx","so_212528")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0.45833333333333331</v>
      </c>
    </row>
    <row r="251" spans="1:7" x14ac:dyDescent="0.15">
      <c r="A251" t="str">
        <f>HYPERLINK("./new_k5/query_cmdrels_weight_analyze/0.2_0.5_0.3/so_21620406.xlsx","so_21620406")</f>
        <v>so_21620406</v>
      </c>
      <c r="B251">
        <v>0</v>
      </c>
      <c r="C251">
        <v>0</v>
      </c>
      <c r="D251">
        <v>0.1111111111111111</v>
      </c>
      <c r="E251">
        <v>0.1111111111111111</v>
      </c>
      <c r="F251">
        <v>0.1111111111111111</v>
      </c>
      <c r="G251">
        <v>0.1111111111111111</v>
      </c>
    </row>
    <row r="252" spans="1:7" x14ac:dyDescent="0.15">
      <c r="A252" t="str">
        <f>HYPERLINK("./new_k5/query_cmdrels_weight_analyze/0.2_0.5_0.3/so_23509348.xlsx","so_23509348")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HYPERLINK("./new_k5/query_cmdrels_weight_analyze/0.2_0.5_0.3/so_24058544.xlsx","so_24058544")</f>
        <v>so_24058544</v>
      </c>
      <c r="B253">
        <v>0.2</v>
      </c>
      <c r="C253">
        <v>0.2</v>
      </c>
      <c r="D253">
        <v>0.2</v>
      </c>
      <c r="E253">
        <v>0.4</v>
      </c>
      <c r="F253">
        <v>0.2</v>
      </c>
      <c r="G253">
        <v>0.4</v>
      </c>
    </row>
    <row r="254" spans="1:7" x14ac:dyDescent="0.15">
      <c r="A254" t="str">
        <f>HYPERLINK("./new_k5/query_cmdrels_weight_analyze/0.2_0.5_0.3/so_24283097.xlsx","so_24283097")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HYPERLINK("./new_k5/query_cmdrels_weight_analyze/0.2_0.5_0.3/so_26256279.xlsx","so_26256279")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HYPERLINK("./new_k5/query_cmdrels_weight_analyze/0.2_0.5_0.3/so_26331651.xlsx","so_26331651")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HYPERLINK("./new_k5/query_cmdrels_weight_analyze/0.2_0.5_0.3/so_26988262.xlsx","so_26988262")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HYPERLINK("./new_k5/query_cmdrels_weight_analyze/0.2_0.5_0.3/so_27238411.xlsx","so_27238411")</f>
        <v>so_27238411</v>
      </c>
      <c r="B258">
        <v>0.2</v>
      </c>
      <c r="C258">
        <v>0.2</v>
      </c>
      <c r="D258">
        <v>0.6</v>
      </c>
      <c r="E258">
        <v>0.33333333333333331</v>
      </c>
      <c r="F258">
        <v>0.6</v>
      </c>
      <c r="G258">
        <v>0.48333333333333328</v>
      </c>
    </row>
    <row r="259" spans="1:7" x14ac:dyDescent="0.15">
      <c r="A259" t="str">
        <f>HYPERLINK("./new_k5/query_cmdrels_weight_analyze/0.2_0.5_0.3/so_27943059.xlsx","so_27943059")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0.33333333333333331</v>
      </c>
      <c r="F259">
        <v>0.16666666666666671</v>
      </c>
      <c r="G259">
        <v>0.5</v>
      </c>
    </row>
    <row r="260" spans="1:7" x14ac:dyDescent="0.15">
      <c r="A260" t="str">
        <f>HYPERLINK("./new_k5/query_cmdrels_weight_analyze/0.2_0.5_0.3/so_28869004.xlsx","so_28869004")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HYPERLINK("./new_k5/query_cmdrels_weight_analyze/0.2_0.5_0.3/so_2973624.xlsx","so_2973624")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1</v>
      </c>
      <c r="F261">
        <v>0.66666666666666663</v>
      </c>
      <c r="G261">
        <v>1</v>
      </c>
    </row>
    <row r="262" spans="1:7" x14ac:dyDescent="0.15">
      <c r="A262" t="str">
        <f>HYPERLINK("./new_k5/query_cmdrels_weight_analyze/0.2_0.5_0.3/so_30177455.xlsx","so_30177455")</f>
        <v>so_30177455</v>
      </c>
      <c r="B262">
        <v>0</v>
      </c>
      <c r="C262">
        <v>0</v>
      </c>
      <c r="D262">
        <v>0.16666666666666671</v>
      </c>
      <c r="E262">
        <v>0.1111111111111111</v>
      </c>
      <c r="F262">
        <v>0.16666666666666671</v>
      </c>
      <c r="G262">
        <v>0.1111111111111111</v>
      </c>
    </row>
    <row r="263" spans="1:7" x14ac:dyDescent="0.15">
      <c r="A263" t="str">
        <f>HYPERLINK("./new_k5/query_cmdrels_weight_analyze/0.2_0.5_0.3/so_30251889.xlsx","so_30251889")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0.6791666666666667</v>
      </c>
    </row>
    <row r="264" spans="1:7" x14ac:dyDescent="0.15">
      <c r="A264" t="str">
        <f>HYPERLINK("./new_k5/query_cmdrels_weight_analyze/0.2_0.5_0.3/so_305035.xlsx","so_305035")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HYPERLINK("./new_k5/query_cmdrels_weight_analyze/0.2_0.5_0.3/so_36249744.xlsx","so_36249744")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HYPERLINK("./new_k5/query_cmdrels_weight_analyze/0.2_0.5_0.3/so_3643848.xlsx","so_3643848")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HYPERLINK("./new_k5/query_cmdrels_weight_analyze/0.2_0.5_0.3/so_3667329.xlsx","so_3667329")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HYPERLINK("./new_k5/query_cmdrels_weight_analyze/0.2_0.5_0.3/so_369758.xlsx","so_369758")</f>
        <v>so_369758</v>
      </c>
      <c r="B268">
        <v>0.2</v>
      </c>
      <c r="C268">
        <v>0.2</v>
      </c>
      <c r="D268">
        <v>0.4</v>
      </c>
      <c r="E268">
        <v>0.4</v>
      </c>
      <c r="F268">
        <v>0.4</v>
      </c>
      <c r="G268">
        <v>0.55000000000000004</v>
      </c>
    </row>
    <row r="269" spans="1:7" x14ac:dyDescent="0.15">
      <c r="A269" t="str">
        <f>HYPERLINK("./new_k5/query_cmdrels_weight_analyze/0.2_0.5_0.3/so_3756323.xlsx","so_3756323")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0.75</v>
      </c>
    </row>
    <row r="270" spans="1:7" x14ac:dyDescent="0.15">
      <c r="A270" t="str">
        <f>HYPERLINK("./new_k5/query_cmdrels_weight_analyze/0.2_0.5_0.3/so_3767267.xlsx","so_3767267")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HYPERLINK("./new_k5/query_cmdrels_weight_analyze/0.2_0.5_0.3/so_3833578.xlsx","so_3833578")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HYPERLINK("./new_k5/query_cmdrels_weight_analyze/0.2_0.5_0.3/so_3891076.xlsx","so_3891076")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0.52500000000000002</v>
      </c>
    </row>
    <row r="273" spans="1:7" x14ac:dyDescent="0.15">
      <c r="A273" t="str">
        <f>HYPERLINK("./new_k5/query_cmdrels_weight_analyze/0.2_0.5_0.3/so_3963085.xlsx","so_3963085")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HYPERLINK("./new_k5/query_cmdrels_weight_analyze/0.2_0.5_0.3/so_4325216.xlsx","so_4325216")</f>
        <v>so_4325216</v>
      </c>
      <c r="B274">
        <v>0.5</v>
      </c>
      <c r="C274">
        <v>0.5</v>
      </c>
      <c r="D274">
        <v>0.5</v>
      </c>
      <c r="E274">
        <v>1</v>
      </c>
      <c r="F274">
        <v>0.5</v>
      </c>
      <c r="G274">
        <v>1</v>
      </c>
    </row>
    <row r="275" spans="1:7" x14ac:dyDescent="0.15">
      <c r="A275" t="str">
        <f>HYPERLINK("./new_k5/query_cmdrels_weight_analyze/0.2_0.5_0.3/so_448005.xlsx","so_448005")</f>
        <v>so_448005</v>
      </c>
      <c r="B275">
        <v>1</v>
      </c>
      <c r="C275">
        <v>0</v>
      </c>
      <c r="D275">
        <v>1</v>
      </c>
      <c r="E275">
        <v>0.5</v>
      </c>
      <c r="F275">
        <v>1</v>
      </c>
      <c r="G275">
        <v>0.5</v>
      </c>
    </row>
    <row r="276" spans="1:7" x14ac:dyDescent="0.15">
      <c r="A276" t="str">
        <f>HYPERLINK("./new_k5/query_cmdrels_weight_analyze/0.2_0.5_0.3/so_4921879.xlsx","so_4921879")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HYPERLINK("./new_k5/query_cmdrels_weight_analyze/0.2_0.5_0.3/so_4922943.xlsx","so_4922943")</f>
        <v>so_4922943</v>
      </c>
      <c r="B277">
        <v>0.2</v>
      </c>
      <c r="C277">
        <v>0.2</v>
      </c>
      <c r="D277">
        <v>0.33333333333333331</v>
      </c>
      <c r="E277">
        <v>0.33333333333333331</v>
      </c>
      <c r="F277">
        <v>0.33333333333333331</v>
      </c>
      <c r="G277">
        <v>0.33333333333333331</v>
      </c>
    </row>
    <row r="278" spans="1:7" x14ac:dyDescent="0.15">
      <c r="A278" t="str">
        <f>HYPERLINK("./new_k5/query_cmdrels_weight_analyze/0.2_0.5_0.3/so_5119946.xlsx","so_5119946")</f>
        <v>so_5119946</v>
      </c>
      <c r="B278">
        <v>0.5</v>
      </c>
      <c r="C278">
        <v>0</v>
      </c>
      <c r="D278">
        <v>0.5</v>
      </c>
      <c r="E278">
        <v>0.16666666666666671</v>
      </c>
      <c r="F278">
        <v>0.5</v>
      </c>
      <c r="G278">
        <v>0.16666666666666671</v>
      </c>
    </row>
    <row r="279" spans="1:7" x14ac:dyDescent="0.15">
      <c r="A279" t="str">
        <f>HYPERLINK("./new_k5/query_cmdrels_weight_analyze/0.2_0.5_0.3/so_5164985.xlsx","so_5164985")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HYPERLINK("./new_k5/query_cmdrels_weight_analyze/0.2_0.5_0.3/so_5306153.xlsx","so_5306153")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HYPERLINK("./new_k5/query_cmdrels_weight_analyze/0.2_0.5_0.3/so_5566310.xlsx","so_5566310")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HYPERLINK("./new_k5/query_cmdrels_weight_analyze/0.2_0.5_0.3/so_5927369.xlsx","so_5927369")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HYPERLINK("./new_k5/query_cmdrels_weight_analyze/0.2_0.5_0.3/so_5947742.xlsx","so_5947742")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HYPERLINK("./new_k5/query_cmdrels_weight_analyze/0.2_0.5_0.3/so_614795.xlsx","so_614795")</f>
        <v>so_614795</v>
      </c>
      <c r="B284">
        <v>0</v>
      </c>
      <c r="C284">
        <v>0</v>
      </c>
      <c r="D284">
        <v>0</v>
      </c>
      <c r="E284">
        <v>0.16666666666666671</v>
      </c>
      <c r="F284">
        <v>0</v>
      </c>
      <c r="G284">
        <v>0.16666666666666671</v>
      </c>
    </row>
    <row r="285" spans="1:7" x14ac:dyDescent="0.15">
      <c r="A285" t="str">
        <f>HYPERLINK("./new_k5/query_cmdrels_weight_analyze/0.2_0.5_0.3/so_6207573.xlsx","so_6207573")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0.2857142857142857</v>
      </c>
      <c r="F285">
        <v>0.37142857142857139</v>
      </c>
      <c r="G285">
        <v>0.39285714285714279</v>
      </c>
    </row>
    <row r="286" spans="1:7" x14ac:dyDescent="0.15">
      <c r="A286" t="str">
        <f>HYPERLINK("./new_k5/query_cmdrels_weight_analyze/0.2_0.5_0.3/so_6283167.xlsx","so_6283167")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HYPERLINK("./new_k5/query_cmdrels_weight_analyze/0.2_0.5_0.3/so_6329505.xlsx","so_6329505")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HYPERLINK("./new_k5/query_cmdrels_weight_analyze/0.2_0.5_0.3/so_6423532.xlsx","so_6423532")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HYPERLINK("./new_k5/query_cmdrels_weight_analyze/0.2_0.5_0.3/so_669438.xlsx","so_669438")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0.33333333333333331</v>
      </c>
    </row>
    <row r="290" spans="1:7" x14ac:dyDescent="0.15">
      <c r="A290" t="str">
        <f>HYPERLINK("./new_k5/query_cmdrels_weight_analyze/0.2_0.5_0.3/so_7052875.xlsx","so_7052875")</f>
        <v>so_7052875</v>
      </c>
      <c r="B290">
        <v>0.2</v>
      </c>
      <c r="C290">
        <v>0.2</v>
      </c>
      <c r="D290">
        <v>0.2</v>
      </c>
      <c r="E290">
        <v>0.2</v>
      </c>
      <c r="F290">
        <v>0.2</v>
      </c>
      <c r="G290">
        <v>0.3</v>
      </c>
    </row>
    <row r="291" spans="1:7" x14ac:dyDescent="0.15">
      <c r="A291" t="str">
        <f>HYPERLINK("./new_k5/query_cmdrels_weight_analyze/0.2_0.5_0.3/so_7221757.xlsx","so_7221757")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HYPERLINK("./new_k5/query_cmdrels_weight_analyze/0.2_0.5_0.3/so_750604.xlsx","so_750604")</f>
        <v>so_750604</v>
      </c>
      <c r="B292">
        <v>0</v>
      </c>
      <c r="C292">
        <v>0</v>
      </c>
      <c r="D292">
        <v>0.1111111111111111</v>
      </c>
      <c r="E292">
        <v>0.16666666666666671</v>
      </c>
      <c r="F292">
        <v>0.1111111111111111</v>
      </c>
      <c r="G292">
        <v>0.33333333333333331</v>
      </c>
    </row>
    <row r="293" spans="1:7" x14ac:dyDescent="0.15">
      <c r="A293" t="str">
        <f>HYPERLINK("./new_k5/query_cmdrels_weight_analyze/0.2_0.5_0.3/so_7575267.xlsx","so_7575267")</f>
        <v>so_7575267</v>
      </c>
      <c r="B293">
        <v>0</v>
      </c>
      <c r="C293">
        <v>0.25</v>
      </c>
      <c r="D293">
        <v>0</v>
      </c>
      <c r="E293">
        <v>0.5</v>
      </c>
      <c r="F293">
        <v>0</v>
      </c>
      <c r="G293">
        <v>0.6875</v>
      </c>
    </row>
    <row r="294" spans="1:7" x14ac:dyDescent="0.15">
      <c r="A294" t="str">
        <f>HYPERLINK("./new_k5/query_cmdrels_weight_analyze/0.2_0.5_0.3/so_7698488.xlsx","so_7698488")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0.16250000000000001</v>
      </c>
    </row>
    <row r="295" spans="1:7" x14ac:dyDescent="0.15">
      <c r="A295" t="str">
        <f>HYPERLINK("./new_k5/query_cmdrels_weight_analyze/0.2_0.5_0.3/so_801095.xlsx","so_801095")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0.55555555555555547</v>
      </c>
      <c r="F295">
        <v>0.33333333333333331</v>
      </c>
      <c r="G295">
        <v>0.55555555555555547</v>
      </c>
    </row>
    <row r="296" spans="1:7" x14ac:dyDescent="0.15">
      <c r="A296" t="str">
        <f>HYPERLINK("./new_k5/query_cmdrels_weight_analyze/0.2_0.5_0.3/so_8249705.xlsx","so_8249705")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HYPERLINK("./new_k5/query_cmdrels_weight_analyze/0.2_0.5_0.3/so_8423541.xlsx","so_8423541")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HYPERLINK("./new_k5/query_cmdrels_weight_analyze/0.2_0.5_0.3/so_8654051.xlsx","so_8654051")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HYPERLINK("./new_k5/query_cmdrels_weight_analyze/0.2_0.5_0.3/so_890262.xlsx","so_890262")</f>
        <v>so_890262</v>
      </c>
      <c r="B299">
        <v>0</v>
      </c>
      <c r="C299">
        <v>0</v>
      </c>
      <c r="D299">
        <v>0</v>
      </c>
      <c r="E299">
        <v>0.1111111111111111</v>
      </c>
      <c r="F299">
        <v>0</v>
      </c>
      <c r="G299">
        <v>0.27777777777777768</v>
      </c>
    </row>
    <row r="300" spans="1:7" x14ac:dyDescent="0.15">
      <c r="A300" t="str">
        <f>HYPERLINK("./new_k5/query_cmdrels_weight_analyze/0.2_0.5_0.3/so_893585.xlsx","so_893585")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HYPERLINK("./new_k5/query_cmdrels_weight_analyze/0.2_0.5_0.3/so_9223460.xlsx","so_9223460")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HYPERLINK("./new_k5/query_cmdrels_weight_analyze/0.2_0.5_0.3/so_9245638.xlsx","so_9245638")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HYPERLINK("./new_k5/query_cmdrels_weight_analyze/0.2_0.5_0.3/so_9304953.xlsx","so_9304953")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0.6</v>
      </c>
    </row>
    <row r="304" spans="1:7" x14ac:dyDescent="0.15">
      <c r="A304" t="str">
        <f>HYPERLINK("./new_k5/query_cmdrels_weight_analyze/0.2_0.5_0.3/so_9361816.xlsx","so_9361816")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HYPERLINK("./new_k5/query_cmdrels_weight_analyze/0.2_0.5_0.3/su_116617.xlsx","su_116617")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HYPERLINK("./new_k5/query_cmdrels_weight_analyze/0.2_0.5_0.3/su_120045.xlsx","su_120045")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HYPERLINK("./new_k5/query_cmdrels_weight_analyze/0.2_0.5_0.3/su_127863.xlsx","su_127863")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HYPERLINK("./new_k5/query_cmdrels_weight_analyze/0.2_0.5_0.3/su_135498.xlsx","su_135498")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HYPERLINK("./new_k5/query_cmdrels_weight_analyze/0.2_0.5_0.3/su_147027.xlsx","su_147027")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HYPERLINK("./new_k5/query_cmdrels_weight_analyze/0.2_0.5_0.3/su_151911.xlsx","su_151911")</f>
        <v>su_151911</v>
      </c>
      <c r="B310">
        <v>0</v>
      </c>
      <c r="C310">
        <v>0</v>
      </c>
      <c r="D310">
        <v>0</v>
      </c>
      <c r="E310">
        <v>8.3333333333333329E-2</v>
      </c>
      <c r="F310">
        <v>0</v>
      </c>
      <c r="G310">
        <v>8.3333333333333329E-2</v>
      </c>
    </row>
    <row r="311" spans="1:7" x14ac:dyDescent="0.15">
      <c r="A311" t="str">
        <f>HYPERLINK("./new_k5/query_cmdrels_weight_analyze/0.2_0.5_0.3/su_153415.xlsx","su_153415")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HYPERLINK("./new_k5/query_cmdrels_weight_analyze/0.2_0.5_0.3/su_156189.xlsx","su_156189")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0.27777777777777768</v>
      </c>
    </row>
    <row r="313" spans="1:7" x14ac:dyDescent="0.15">
      <c r="A313" t="str">
        <f>HYPERLINK("./new_k5/query_cmdrels_weight_analyze/0.2_0.5_0.3/su_161531.xlsx","su_161531")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HYPERLINK("./new_k5/query_cmdrels_weight_analyze/0.2_0.5_0.3/su_204209.xlsx","su_204209")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HYPERLINK("./new_k5/query_cmdrels_weight_analyze/0.2_0.5_0.3/su_214390.xlsx","su_214390")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HYPERLINK("./new_k5/query_cmdrels_weight_analyze/0.2_0.5_0.3/su_215483.xlsx","su_215483")</f>
        <v>su_215483</v>
      </c>
      <c r="B316">
        <v>0.5</v>
      </c>
      <c r="C316">
        <v>0.5</v>
      </c>
      <c r="D316">
        <v>1</v>
      </c>
      <c r="E316">
        <v>0.83333333333333326</v>
      </c>
      <c r="F316">
        <v>1</v>
      </c>
      <c r="G316">
        <v>0.83333333333333326</v>
      </c>
    </row>
    <row r="317" spans="1:7" x14ac:dyDescent="0.15">
      <c r="A317" t="str">
        <f>HYPERLINK("./new_k5/query_cmdrels_weight_analyze/0.2_0.5_0.3/su_215504.xlsx","su_215504")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0.47916666666666657</v>
      </c>
    </row>
    <row r="318" spans="1:7" x14ac:dyDescent="0.15">
      <c r="A318" t="str">
        <f>HYPERLINK("./new_k5/query_cmdrels_weight_analyze/0.2_0.5_0.3/su_227385.xlsx","su_227385")</f>
        <v>su_227385</v>
      </c>
      <c r="B318">
        <v>0</v>
      </c>
      <c r="C318">
        <v>0</v>
      </c>
      <c r="D318">
        <v>0</v>
      </c>
      <c r="E318">
        <v>0.125</v>
      </c>
      <c r="F318">
        <v>0</v>
      </c>
      <c r="G318">
        <v>0.125</v>
      </c>
    </row>
    <row r="319" spans="1:7" x14ac:dyDescent="0.15">
      <c r="A319" t="str">
        <f>HYPERLINK("./new_k5/query_cmdrels_weight_analyze/0.2_0.5_0.3/su_273254.xlsx","su_273254")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HYPERLINK("./new_k5/query_cmdrels_weight_analyze/0.2_0.5_0.3/su_294161.xlsx","su_294161")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HYPERLINK("./new_k5/query_cmdrels_weight_analyze/0.2_0.5_0.3/su_302396.xlsx","su_302396")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HYPERLINK("./new_k5/query_cmdrels_weight_analyze/0.2_0.5_0.3/su_303981.xlsx","su_303981")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HYPERLINK("./new_k5/query_cmdrels_weight_analyze/0.2_0.5_0.3/su_305128.xlsx","su_305128")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HYPERLINK("./new_k5/query_cmdrels_weight_analyze/0.2_0.5_0.3/su_31512.xlsx","su_31512")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HYPERLINK("./new_k5/query_cmdrels_weight_analyze/0.2_0.5_0.3/su_380520.xlsx","su_380520")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</v>
      </c>
    </row>
    <row r="326" spans="1:7" x14ac:dyDescent="0.15">
      <c r="A326" t="str">
        <f>HYPERLINK("./new_k5/query_cmdrels_weight_analyze/0.2_0.5_0.3/su_38981.xlsx","su_38981")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HYPERLINK("./new_k5/query_cmdrels_weight_analyze/0.2_0.5_0.3/su_437330.xlsx","su_437330")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HYPERLINK("./new_k5/query_cmdrels_weight_analyze/0.2_0.5_0.3/su_441379.xlsx","su_441379")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HYPERLINK("./new_k5/query_cmdrels_weight_analyze/0.2_0.5_0.3/su_462788.xlsx","su_462788")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0.33333333333333331</v>
      </c>
      <c r="F329">
        <v>0.30555555555555558</v>
      </c>
      <c r="G329">
        <v>0.42222222222222222</v>
      </c>
    </row>
    <row r="330" spans="1:7" x14ac:dyDescent="0.15">
      <c r="A330" t="str">
        <f>HYPERLINK("./new_k5/query_cmdrels_weight_analyze/0.2_0.5_0.3/su_626606.xlsx","su_626606")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0.83333333333333337</v>
      </c>
    </row>
    <row r="331" spans="1:7" x14ac:dyDescent="0.15">
      <c r="A331" t="str">
        <f>HYPERLINK("./new_k5/query_cmdrels_weight_analyze/0.2_0.5_0.3/su_634469.xlsx","su_634469")</f>
        <v>su_634469</v>
      </c>
      <c r="B331">
        <v>0</v>
      </c>
      <c r="C331">
        <v>0.16666666666666671</v>
      </c>
      <c r="D331">
        <v>0</v>
      </c>
      <c r="E331">
        <v>0.16666666666666671</v>
      </c>
      <c r="F331">
        <v>0</v>
      </c>
      <c r="G331">
        <v>0.16666666666666671</v>
      </c>
    </row>
    <row r="332" spans="1:7" x14ac:dyDescent="0.15">
      <c r="A332" t="str">
        <f>HYPERLINK("./new_k5/query_cmdrels_weight_analyze/0.2_0.5_0.3/su_638616.xlsx","su_638616")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HYPERLINK("./new_k5/query_cmdrels_weight_analyze/0.2_0.5_0.3/su_678113.xlsx","su_678113")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HYPERLINK("./new_k5/query_cmdrels_weight_analyze/0.2_0.5_0.3/su_686394.xlsx","su_686394")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HYPERLINK("./new_k5/query_cmdrels_weight_analyze/0.2_0.5_0.3/su_716795.xlsx","su_716795")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0.125</v>
      </c>
    </row>
    <row r="336" spans="1:7" x14ac:dyDescent="0.15">
      <c r="A336" t="str">
        <f>HYPERLINK("./new_k5/query_cmdrels_weight_analyze/0.2_0.5_0.3/su_758463.xlsx","su_758463")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HYPERLINK("./new_k5/query_cmdrels_weight_analyze/0.2_0.5_0.3/su_766437.xlsx","su_766437")</f>
        <v>su_766437</v>
      </c>
      <c r="B337">
        <v>0</v>
      </c>
      <c r="C337">
        <v>0</v>
      </c>
      <c r="D337">
        <v>0</v>
      </c>
      <c r="E337">
        <v>6.6666666666666666E-2</v>
      </c>
      <c r="F337">
        <v>0.05</v>
      </c>
      <c r="G337">
        <v>0.28666666666666663</v>
      </c>
    </row>
    <row r="338" spans="1:7" x14ac:dyDescent="0.15">
      <c r="A338" t="str">
        <f>HYPERLINK("./new_k5/query_cmdrels_weight_analyze/0.2_0.5_0.3/su_904001.xlsx","su_904001")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HYPERLINK("./new_k5/query_cmdrels_weight_analyze/0.2_0.5_0.3/ul_100959.xlsx","ul_100959")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HYPERLINK("./new_k5/query_cmdrels_weight_analyze/0.2_0.5_0.3/ul_101073.xlsx","ul_101073")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HYPERLINK("./new_k5/query_cmdrels_weight_analyze/0.2_0.5_0.3/ul_101237.xlsx","ul_101237")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HYPERLINK("./new_k5/query_cmdrels_weight_analyze/0.2_0.5_0.3/ul_102752.xlsx","ul_102752")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HYPERLINK("./new_k5/query_cmdrels_weight_analyze/0.2_0.5_0.3/ul_108174.xlsx","ul_108174")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HYPERLINK("./new_k5/query_cmdrels_weight_analyze/0.2_0.5_0.3/ul_109536.xlsx","ul_109536")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HYPERLINK("./new_k5/query_cmdrels_weight_analyze/0.2_0.5_0.3/ul_112050.xlsx","ul_112050")</f>
        <v>ul_112050</v>
      </c>
      <c r="B345">
        <v>0</v>
      </c>
      <c r="C345">
        <v>0.25</v>
      </c>
      <c r="D345">
        <v>0.125</v>
      </c>
      <c r="E345">
        <v>0.75</v>
      </c>
      <c r="F345">
        <v>0.125</v>
      </c>
      <c r="G345">
        <v>0.75</v>
      </c>
    </row>
    <row r="346" spans="1:7" x14ac:dyDescent="0.15">
      <c r="A346" t="str">
        <f>HYPERLINK("./new_k5/query_cmdrels_weight_analyze/0.2_0.5_0.3/ul_116070.xlsx","ul_116070")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HYPERLINK("./new_k5/query_cmdrels_weight_analyze/0.2_0.5_0.3/ul_11851.xlsx","ul_11851")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HYPERLINK("./new_k5/query_cmdrels_weight_analyze/0.2_0.5_0.3/ul_119126.xlsx","ul_119126")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HYPERLINK("./new_k5/query_cmdrels_weight_analyze/0.2_0.5_0.3/ul_121718.xlsx","ul_121718")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HYPERLINK("./new_k5/query_cmdrels_weight_analyze/0.2_0.5_0.3/ul_12227.xlsx","ul_12227")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HYPERLINK("./new_k5/query_cmdrels_weight_analyze/0.2_0.5_0.3/ul_12453.xlsx","ul_12453")</f>
        <v>ul_12453</v>
      </c>
      <c r="B351">
        <v>0</v>
      </c>
      <c r="C351">
        <v>0.25</v>
      </c>
      <c r="D351">
        <v>0.125</v>
      </c>
      <c r="E351">
        <v>0.75</v>
      </c>
      <c r="F351">
        <v>0.125</v>
      </c>
      <c r="G351">
        <v>1</v>
      </c>
    </row>
    <row r="352" spans="1:7" x14ac:dyDescent="0.15">
      <c r="A352" t="str">
        <f>HYPERLINK("./new_k5/query_cmdrels_weight_analyze/0.2_0.5_0.3/ul_12535.xlsx","ul_12535")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0.16666666666666671</v>
      </c>
    </row>
    <row r="353" spans="1:7" x14ac:dyDescent="0.15">
      <c r="A353" t="str">
        <f>HYPERLINK("./new_k5/query_cmdrels_weight_analyze/0.2_0.5_0.3/ul_127066.xlsx","ul_127066")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0.41666666666666657</v>
      </c>
    </row>
    <row r="354" spans="1:7" x14ac:dyDescent="0.15">
      <c r="A354" t="str">
        <f>HYPERLINK("./new_k5/query_cmdrels_weight_analyze/0.2_0.5_0.3/ul_128953.xlsx","ul_128953")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HYPERLINK("./new_k5/query_cmdrels_weight_analyze/0.2_0.5_0.3/ul_134829.xlsx","ul_134829")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0.66666666666666663</v>
      </c>
    </row>
    <row r="356" spans="1:7" x14ac:dyDescent="0.15">
      <c r="A356" t="str">
        <f>HYPERLINK("./new_k5/query_cmdrels_weight_analyze/0.2_0.5_0.3/ul_136371.xlsx","ul_136371")</f>
        <v>ul_136371</v>
      </c>
      <c r="B356">
        <v>0</v>
      </c>
      <c r="C356">
        <v>0</v>
      </c>
      <c r="D356">
        <v>0</v>
      </c>
      <c r="E356">
        <v>0.16666666666666671</v>
      </c>
      <c r="F356">
        <v>0</v>
      </c>
      <c r="G356">
        <v>0.3</v>
      </c>
    </row>
    <row r="357" spans="1:7" x14ac:dyDescent="0.15">
      <c r="A357" t="str">
        <f>HYPERLINK("./new_k5/query_cmdrels_weight_analyze/0.2_0.5_0.3/ul_136884.xlsx","ul_136884")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HYPERLINK("./new_k5/query_cmdrels_weight_analyze/0.2_0.5_0.3/ul_138398.xlsx","ul_138398")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HYPERLINK("./new_k5/query_cmdrels_weight_analyze/0.2_0.5_0.3/ul_139271.xlsx","ul_139271")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0.16666666666666671</v>
      </c>
      <c r="F359">
        <v>0.33333333333333331</v>
      </c>
      <c r="G359">
        <v>0.35</v>
      </c>
    </row>
    <row r="360" spans="1:7" x14ac:dyDescent="0.15">
      <c r="A360" t="str">
        <f>HYPERLINK("./new_k5/query_cmdrels_weight_analyze/0.2_0.5_0.3/ul_140482.xlsx","ul_140482")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HYPERLINK("./new_k5/query_cmdrels_weight_analyze/0.2_0.5_0.3/ul_14191.xlsx","ul_14191")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0.1111111111111111</v>
      </c>
    </row>
    <row r="362" spans="1:7" x14ac:dyDescent="0.15">
      <c r="A362" t="str">
        <f>HYPERLINK("./new_k5/query_cmdrels_weight_analyze/0.2_0.5_0.3/ul_145929.xlsx","ul_145929")</f>
        <v>ul_145929</v>
      </c>
      <c r="B362">
        <v>0</v>
      </c>
      <c r="C362">
        <v>0</v>
      </c>
      <c r="D362">
        <v>0.16666666666666671</v>
      </c>
      <c r="E362">
        <v>0.58333333333333326</v>
      </c>
      <c r="F362">
        <v>0.16666666666666671</v>
      </c>
      <c r="G362">
        <v>0.58333333333333326</v>
      </c>
    </row>
    <row r="363" spans="1:7" x14ac:dyDescent="0.15">
      <c r="A363" t="str">
        <f>HYPERLINK("./new_k5/query_cmdrels_weight_analyze/0.2_0.5_0.3/ul_148985.xlsx","ul_148985")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HYPERLINK("./new_k5/query_cmdrels_weight_analyze/0.2_0.5_0.3/ul_15405.xlsx","ul_15405")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HYPERLINK("./new_k5/query_cmdrels_weight_analyze/0.2_0.5_0.3/ul_155551.xlsx","ul_155551")</f>
        <v>ul_155551</v>
      </c>
      <c r="B365">
        <v>0</v>
      </c>
      <c r="C365">
        <v>0.5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HYPERLINK("./new_k5/query_cmdrels_weight_analyze/0.2_0.5_0.3/ul_159672.xlsx","ul_159672")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HYPERLINK("./new_k5/query_cmdrels_weight_analyze/0.2_0.5_0.3/ul_163845.xlsx","ul_163845")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HYPERLINK("./new_k5/query_cmdrels_weight_analyze/0.2_0.5_0.3/ul_16407.xlsx","ul_16407")</f>
        <v>ul_16407</v>
      </c>
      <c r="B368">
        <v>0.5</v>
      </c>
      <c r="C368">
        <v>0</v>
      </c>
      <c r="D368">
        <v>0.5</v>
      </c>
      <c r="E368">
        <v>0.25</v>
      </c>
      <c r="F368">
        <v>0.75</v>
      </c>
      <c r="G368">
        <v>0.25</v>
      </c>
    </row>
    <row r="369" spans="1:7" x14ac:dyDescent="0.15">
      <c r="A369" t="str">
        <f>HYPERLINK("./new_k5/query_cmdrels_weight_analyze/0.2_0.5_0.3/ul_166558.xlsx","ul_166558")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HYPERLINK("./new_k5/query_cmdrels_weight_analyze/0.2_0.5_0.3/ul_171314.xlsx","ul_171314")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0.25</v>
      </c>
    </row>
    <row r="371" spans="1:7" x14ac:dyDescent="0.15">
      <c r="A371" t="str">
        <f>HYPERLINK("./new_k5/query_cmdrels_weight_analyze/0.2_0.5_0.3/ul_182032.xlsx","ul_182032")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HYPERLINK("./new_k5/query_cmdrels_weight_analyze/0.2_0.5_0.3/ul_19344.xlsx","ul_19344")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HYPERLINK("./new_k5/query_cmdrels_weight_analyze/0.2_0.5_0.3/ul_19369.xlsx","ul_19369")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HYPERLINK("./new_k5/query_cmdrels_weight_analyze/0.2_0.5_0.3/ul_19485.xlsx","ul_19485")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HYPERLINK("./new_k5/query_cmdrels_weight_analyze/0.2_0.5_0.3/ul_20370.xlsx","ul_20370")</f>
        <v>ul_20370</v>
      </c>
      <c r="B375">
        <v>0</v>
      </c>
      <c r="C375">
        <v>0</v>
      </c>
      <c r="D375">
        <v>0</v>
      </c>
      <c r="E375">
        <v>0.16666666666666671</v>
      </c>
      <c r="F375">
        <v>0</v>
      </c>
      <c r="G375">
        <v>0.16666666666666671</v>
      </c>
    </row>
    <row r="376" spans="1:7" x14ac:dyDescent="0.15">
      <c r="A376" t="str">
        <f>HYPERLINK("./new_k5/query_cmdrels_weight_analyze/0.2_0.5_0.3/ul_211817.xlsx","ul_211817")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HYPERLINK("./new_k5/query_cmdrels_weight_analyze/0.2_0.5_0.3/ul_212925.xlsx","ul_212925")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HYPERLINK("./new_k5/query_cmdrels_weight_analyze/0.2_0.5_0.3/ul_21471.xlsx","ul_21471")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HYPERLINK("./new_k5/query_cmdrels_weight_analyze/0.2_0.5_0.3/ul_22545.xlsx","ul_22545")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HYPERLINK("./new_k5/query_cmdrels_weight_analyze/0.2_0.5_0.3/ul_230481.xlsx","ul_230481")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HYPERLINK("./new_k5/query_cmdrels_weight_analyze/0.2_0.5_0.3/ul_230673.xlsx","ul_230673")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0.45</v>
      </c>
    </row>
    <row r="382" spans="1:7" x14ac:dyDescent="0.15">
      <c r="A382" t="str">
        <f>HYPERLINK("./new_k5/query_cmdrels_weight_analyze/0.2_0.5_0.3/ul_230800.xlsx","ul_230800")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HYPERLINK("./new_k5/query_cmdrels_weight_analyze/0.2_0.5_0.3/ul_232384.xlsx","ul_232384")</f>
        <v>ul_232384</v>
      </c>
      <c r="B383">
        <v>0</v>
      </c>
      <c r="C383">
        <v>0.5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HYPERLINK("./new_k5/query_cmdrels_weight_analyze/0.2_0.5_0.3/ul_24441.xlsx","ul_24441")</f>
        <v>ul_24441</v>
      </c>
      <c r="B384">
        <v>0</v>
      </c>
      <c r="C384">
        <v>0.5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HYPERLINK("./new_k5/query_cmdrels_weight_analyze/0.2_0.5_0.3/ul_246535.xlsx","ul_246535")</f>
        <v>ul_246535</v>
      </c>
      <c r="B385">
        <v>0.2</v>
      </c>
      <c r="C385">
        <v>0.2</v>
      </c>
      <c r="D385">
        <v>0.2</v>
      </c>
      <c r="E385">
        <v>0.33333333333333331</v>
      </c>
      <c r="F385">
        <v>0.2</v>
      </c>
      <c r="G385">
        <v>0.45333333333333331</v>
      </c>
    </row>
    <row r="386" spans="1:7" x14ac:dyDescent="0.15">
      <c r="A386" t="str">
        <f>HYPERLINK("./new_k5/query_cmdrels_weight_analyze/0.2_0.5_0.3/ul_259791.xlsx","ul_259791")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HYPERLINK("./new_k5/query_cmdrels_weight_analyze/0.2_0.5_0.3/ul_273971.xlsx","ul_273971")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0.16666666666666671</v>
      </c>
      <c r="F387">
        <v>0.43333333333333329</v>
      </c>
      <c r="G387">
        <v>0.25</v>
      </c>
    </row>
    <row r="388" spans="1:7" x14ac:dyDescent="0.15">
      <c r="A388" t="str">
        <f>HYPERLINK("./new_k5/query_cmdrels_weight_analyze/0.2_0.5_0.3/ul_28553.xlsx","ul_28553")</f>
        <v>ul_28553</v>
      </c>
      <c r="B388">
        <v>0.25</v>
      </c>
      <c r="C388">
        <v>0</v>
      </c>
      <c r="D388">
        <v>0.5</v>
      </c>
      <c r="E388">
        <v>0.125</v>
      </c>
      <c r="F388">
        <v>0.5</v>
      </c>
      <c r="G388">
        <v>0.125</v>
      </c>
    </row>
    <row r="389" spans="1:7" x14ac:dyDescent="0.15">
      <c r="A389" t="str">
        <f>HYPERLINK("./new_k5/query_cmdrels_weight_analyze/0.2_0.5_0.3/ul_288521.xlsx","ul_288521")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HYPERLINK("./new_k5/query_cmdrels_weight_analyze/0.2_0.5_0.3/ul_32290.xlsx","ul_32290")</f>
        <v>ul_32290</v>
      </c>
      <c r="B390">
        <v>0</v>
      </c>
      <c r="C390">
        <v>0</v>
      </c>
      <c r="D390">
        <v>0</v>
      </c>
      <c r="E390">
        <v>8.3333333333333329E-2</v>
      </c>
      <c r="F390">
        <v>0</v>
      </c>
      <c r="G390">
        <v>8.3333333333333329E-2</v>
      </c>
    </row>
    <row r="391" spans="1:7" x14ac:dyDescent="0.15">
      <c r="A391" t="str">
        <f>HYPERLINK("./new_k5/query_cmdrels_weight_analyze/0.2_0.5_0.3/ul_328882.xlsx","ul_328882")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HYPERLINK("./new_k5/query_cmdrels_weight_analyze/0.2_0.5_0.3/ul_35131.xlsx","ul_35131")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0.66666666666666663</v>
      </c>
    </row>
    <row r="393" spans="1:7" x14ac:dyDescent="0.15">
      <c r="A393" t="str">
        <f>HYPERLINK("./new_k5/query_cmdrels_weight_analyze/0.2_0.5_0.3/ul_35333.xlsx","ul_35333")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HYPERLINK("./new_k5/query_cmdrels_weight_analyze/0.2_0.5_0.3/ul_35711.xlsx","ul_35711")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HYPERLINK("./new_k5/query_cmdrels_weight_analyze/0.2_0.5_0.3/ul_3575.xlsx","ul_3575")</f>
        <v>ul_3575</v>
      </c>
      <c r="B395">
        <v>0</v>
      </c>
      <c r="C395">
        <v>0</v>
      </c>
      <c r="D395">
        <v>8.3333333333333329E-2</v>
      </c>
      <c r="E395">
        <v>8.3333333333333329E-2</v>
      </c>
      <c r="F395">
        <v>8.3333333333333329E-2</v>
      </c>
      <c r="G395">
        <v>8.3333333333333329E-2</v>
      </c>
    </row>
    <row r="396" spans="1:7" x14ac:dyDescent="0.15">
      <c r="A396" t="str">
        <f>HYPERLINK("./new_k5/query_cmdrels_weight_analyze/0.2_0.5_0.3/ul_35832.xlsx","ul_35832")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HYPERLINK("./new_k5/query_cmdrels_weight_analyze/0.2_0.5_0.3/ul_370318.xlsx","ul_370318")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0.2857142857142857</v>
      </c>
      <c r="F397">
        <v>0.14285714285714279</v>
      </c>
      <c r="G397">
        <v>0.2857142857142857</v>
      </c>
    </row>
    <row r="398" spans="1:7" x14ac:dyDescent="0.15">
      <c r="A398" t="str">
        <f>HYPERLINK("./new_k5/query_cmdrels_weight_analyze/0.2_0.5_0.3/ul_37329.xlsx","ul_37329")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0.66666666666666663</v>
      </c>
      <c r="F398">
        <v>0.33333333333333331</v>
      </c>
      <c r="G398">
        <v>0.66666666666666663</v>
      </c>
    </row>
    <row r="399" spans="1:7" x14ac:dyDescent="0.15">
      <c r="A399" t="str">
        <f>HYPERLINK("./new_k5/query_cmdrels_weight_analyze/0.2_0.5_0.3/ul_38209.xlsx","ul_38209")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HYPERLINK("./new_k5/query_cmdrels_weight_analyze/0.2_0.5_0.3/ul_41246.xlsx","ul_41246")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HYPERLINK("./new_k5/query_cmdrels_weight_analyze/0.2_0.5_0.3/ul_41362.xlsx","ul_41362")</f>
        <v>ul_41362</v>
      </c>
      <c r="B401">
        <v>0</v>
      </c>
      <c r="C401">
        <v>0</v>
      </c>
      <c r="D401">
        <v>0</v>
      </c>
      <c r="E401">
        <v>8.3333333333333329E-2</v>
      </c>
      <c r="F401">
        <v>0</v>
      </c>
      <c r="G401">
        <v>8.3333333333333329E-2</v>
      </c>
    </row>
    <row r="402" spans="1:7" x14ac:dyDescent="0.15">
      <c r="A402" t="str">
        <f>HYPERLINK("./new_k5/query_cmdrels_weight_analyze/0.2_0.5_0.3/ul_48200.xlsx","ul_48200")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HYPERLINK("./new_k5/query_cmdrels_weight_analyze/0.2_0.5_0.3/ul_50098.xlsx","ul_50098")</f>
        <v>ul_50098</v>
      </c>
      <c r="B403">
        <v>0</v>
      </c>
      <c r="C403">
        <v>0</v>
      </c>
      <c r="D403">
        <v>0.1166666666666667</v>
      </c>
      <c r="E403">
        <v>0.1166666666666667</v>
      </c>
      <c r="F403">
        <v>0.1166666666666667</v>
      </c>
      <c r="G403">
        <v>0.1166666666666667</v>
      </c>
    </row>
    <row r="404" spans="1:7" x14ac:dyDescent="0.15">
      <c r="A404" t="str">
        <f>HYPERLINK("./new_k5/query_cmdrels_weight_analyze/0.2_0.5_0.3/ul_50785.xlsx","ul_50785")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HYPERLINK("./new_k5/query_cmdrels_weight_analyze/0.2_0.5_0.3/ul_5085.xlsx","ul_5085")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HYPERLINK("./new_k5/query_cmdrels_weight_analyze/0.2_0.5_0.3/ul_53737.xlsx","ul_53737")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HYPERLINK("./new_k5/query_cmdrels_weight_analyze/0.2_0.5_0.3/ul_55125.xlsx","ul_55125")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HYPERLINK("./new_k5/query_cmdrels_weight_analyze/0.2_0.5_0.3/ul_56453.xlsx","ul_56453")</f>
        <v>ul_56453</v>
      </c>
      <c r="B408">
        <v>0</v>
      </c>
      <c r="C408">
        <v>0.25</v>
      </c>
      <c r="D408">
        <v>8.3333333333333329E-2</v>
      </c>
      <c r="E408">
        <v>0.41666666666666657</v>
      </c>
      <c r="F408">
        <v>8.3333333333333329E-2</v>
      </c>
      <c r="G408">
        <v>0.56666666666666665</v>
      </c>
    </row>
    <row r="409" spans="1:7" x14ac:dyDescent="0.15">
      <c r="A409" t="str">
        <f>HYPERLINK("./new_k5/query_cmdrels_weight_analyze/0.2_0.5_0.3/ul_63648.xlsx","ul_63648")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HYPERLINK("./new_k5/query_cmdrels_weight_analyze/0.2_0.5_0.3/ul_6402.xlsx","ul_6402")</f>
        <v>ul_6402</v>
      </c>
      <c r="B410">
        <v>0.33333333333333331</v>
      </c>
      <c r="C410">
        <v>0</v>
      </c>
      <c r="D410">
        <v>0.33333333333333331</v>
      </c>
      <c r="E410">
        <v>0.16666666666666671</v>
      </c>
      <c r="F410">
        <v>0.33333333333333331</v>
      </c>
      <c r="G410">
        <v>0.16666666666666671</v>
      </c>
    </row>
    <row r="411" spans="1:7" x14ac:dyDescent="0.15">
      <c r="A411" t="str">
        <f>HYPERLINK("./new_k5/query_cmdrels_weight_analyze/0.2_0.5_0.3/ul_65106.xlsx","ul_65106")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0.66666666666666663</v>
      </c>
    </row>
    <row r="412" spans="1:7" x14ac:dyDescent="0.15">
      <c r="A412" t="str">
        <f>HYPERLINK("./new_k5/query_cmdrels_weight_analyze/0.2_0.5_0.3/ul_65932.xlsx","ul_65932")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HYPERLINK("./new_k5/query_cmdrels_weight_analyze/0.2_0.5_0.3/ul_6596.xlsx","ul_6596")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HYPERLINK("./new_k5/query_cmdrels_weight_analyze/0.2_0.5_0.3/ul_67503.xlsx","ul_67503")</f>
        <v>ul_67503</v>
      </c>
      <c r="B414">
        <v>0</v>
      </c>
      <c r="C414">
        <v>0.5</v>
      </c>
      <c r="D414">
        <v>0.25</v>
      </c>
      <c r="E414">
        <v>0.5</v>
      </c>
      <c r="F414">
        <v>0.5</v>
      </c>
      <c r="G414">
        <v>0.5</v>
      </c>
    </row>
    <row r="415" spans="1:7" x14ac:dyDescent="0.15">
      <c r="A415" t="str">
        <f>HYPERLINK("./new_k5/query_cmdrels_weight_analyze/0.2_0.5_0.3/ul_67592.xlsx","ul_67592")</f>
        <v>ul_67592</v>
      </c>
      <c r="B415">
        <v>0.33333333333333331</v>
      </c>
      <c r="C415">
        <v>0</v>
      </c>
      <c r="D415">
        <v>0.33333333333333331</v>
      </c>
      <c r="E415">
        <v>0</v>
      </c>
      <c r="F415">
        <v>0.33333333333333331</v>
      </c>
      <c r="G415">
        <v>6.6666666666666666E-2</v>
      </c>
    </row>
    <row r="416" spans="1:7" x14ac:dyDescent="0.15">
      <c r="A416" t="str">
        <f>HYPERLINK("./new_k5/query_cmdrels_weight_analyze/0.2_0.5_0.3/ul_70581.xlsx","ul_70581")</f>
        <v>ul_70581</v>
      </c>
      <c r="B416">
        <v>0</v>
      </c>
      <c r="C416">
        <v>0</v>
      </c>
      <c r="D416">
        <v>0.1</v>
      </c>
      <c r="E416">
        <v>0.23333333333333331</v>
      </c>
      <c r="F416">
        <v>0.1</v>
      </c>
      <c r="G416">
        <v>0.35333333333333328</v>
      </c>
    </row>
    <row r="417" spans="1:7" x14ac:dyDescent="0.15">
      <c r="A417" t="str">
        <f>HYPERLINK("./new_k5/query_cmdrels_weight_analyze/0.2_0.5_0.3/ul_70614.xlsx","ul_70614")</f>
        <v>ul_70614</v>
      </c>
      <c r="B417">
        <v>1</v>
      </c>
      <c r="C417">
        <v>0</v>
      </c>
      <c r="D417">
        <v>1</v>
      </c>
      <c r="E417">
        <v>0.33333333333333331</v>
      </c>
      <c r="F417">
        <v>1</v>
      </c>
      <c r="G417">
        <v>0.33333333333333331</v>
      </c>
    </row>
    <row r="418" spans="1:7" x14ac:dyDescent="0.15">
      <c r="A418" t="str">
        <f>HYPERLINK("./new_k5/query_cmdrels_weight_analyze/0.2_0.5_0.3/ul_71465.xlsx","ul_71465")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HYPERLINK("./new_k5/query_cmdrels_weight_analyze/0.2_0.5_0.3/ul_7226.xlsx","ul_7226")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0.33333333333333331</v>
      </c>
      <c r="F419">
        <v>0.33333333333333331</v>
      </c>
      <c r="G419">
        <v>0.5</v>
      </c>
    </row>
    <row r="420" spans="1:7" x14ac:dyDescent="0.15">
      <c r="A420" t="str">
        <f>HYPERLINK("./new_k5/query_cmdrels_weight_analyze/0.2_0.5_0.3/ul_78182.xlsx","ul_78182")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</v>
      </c>
    </row>
    <row r="421" spans="1:7" x14ac:dyDescent="0.15">
      <c r="A421" t="str">
        <f>HYPERLINK("./new_k5/query_cmdrels_weight_analyze/0.2_0.5_0.3/ul_79678.xlsx","ul_79678")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HYPERLINK("./new_k5/query_cmdrels_weight_analyze/0.2_0.5_0.3/ul_79702.xlsx","ul_79702")</f>
        <v>ul_79702</v>
      </c>
      <c r="B422">
        <v>0</v>
      </c>
      <c r="C422">
        <v>0.33333333333333331</v>
      </c>
      <c r="D422">
        <v>0</v>
      </c>
      <c r="E422">
        <v>0.55555555555555547</v>
      </c>
      <c r="F422">
        <v>0</v>
      </c>
      <c r="G422">
        <v>0.75555555555555554</v>
      </c>
    </row>
    <row r="423" spans="1:7" x14ac:dyDescent="0.15">
      <c r="A423" t="str">
        <f>HYPERLINK("./new_k5/query_cmdrels_weight_analyze/0.2_0.5_0.3/ul_83593.xlsx","ul_83593")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HYPERLINK("./new_k5/query_cmdrels_weight_analyze/0.2_0.5_0.3/ul_84381.xlsx","ul_84381")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HYPERLINK("./new_k5/query_cmdrels_weight_analyze/0.2_0.5_0.3/ul_85180.xlsx","ul_85180")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0.27777777777777768</v>
      </c>
    </row>
    <row r="426" spans="1:7" x14ac:dyDescent="0.15">
      <c r="A426" t="str">
        <f>HYPERLINK("./new_k5/query_cmdrels_weight_analyze/0.2_0.5_0.3/ul_86071.xlsx","ul_86071")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HYPERLINK("./new_k5/query_cmdrels_weight_analyze/0.2_0.5_0.3/ul_86729.xlsx","ul_86729")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HYPERLINK("./new_k5/query_cmdrels_weight_analyze/0.2_0.5_0.3/ul_88824.xlsx","ul_88824")</f>
        <v>ul_88824</v>
      </c>
      <c r="B428">
        <v>0</v>
      </c>
      <c r="C428">
        <v>0.33333333333333331</v>
      </c>
      <c r="D428">
        <v>0</v>
      </c>
      <c r="E428">
        <v>0.33333333333333331</v>
      </c>
      <c r="F428">
        <v>0</v>
      </c>
      <c r="G428">
        <v>0.5</v>
      </c>
    </row>
    <row r="429" spans="1:7" x14ac:dyDescent="0.15">
      <c r="A429" t="str">
        <f>HYPERLINK("./new_k5/query_cmdrels_weight_analyze/0.2_0.5_0.3/ul_8945.xlsx","ul_8945")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HYPERLINK("./new_k5/query_cmdrels_weight_analyze/0.2_0.5_0.3/ul_89933.xlsx","ul_89933")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HYPERLINK("./new_k5/query_cmdrels_weight_analyze/0.2_0.5_0.3/ul_91297.xlsx","ul_91297")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HYPERLINK("./new_k5/query_cmdrels_weight_analyze/0.2_0.5_0.3/ul_9252.xlsx","ul_9252")</f>
        <v>ul_9252</v>
      </c>
      <c r="B432">
        <v>0</v>
      </c>
      <c r="C432">
        <v>0</v>
      </c>
      <c r="D432">
        <v>0.23333333333333331</v>
      </c>
      <c r="E432">
        <v>6.6666666666666666E-2</v>
      </c>
      <c r="F432">
        <v>0.23333333333333331</v>
      </c>
      <c r="G432">
        <v>0.1466666666666667</v>
      </c>
    </row>
    <row r="433" spans="1:7" x14ac:dyDescent="0.15">
      <c r="A433" t="str">
        <f>HYPERLINK("./new_k5/query_cmdrels_weight_analyze/0.2_0.5_0.3/ul_92560.xlsx","ul_92560")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0.7</v>
      </c>
    </row>
    <row r="434" spans="1:7" x14ac:dyDescent="0.15">
      <c r="A434" t="str">
        <f>HYPERLINK("./new_k5/query_cmdrels_weight_analyze/0.2_0.5_0.3/ul_92799.xlsx","ul_92799")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0.5</v>
      </c>
      <c r="F434">
        <v>0.53611111111111109</v>
      </c>
      <c r="G434">
        <v>0.66666666666666663</v>
      </c>
    </row>
    <row r="435" spans="1:7" x14ac:dyDescent="0.15">
      <c r="A435" t="str">
        <f>HYPERLINK("./new_k5/query_cmdrels_weight_analyze/0.2_0.5_0.3/ul_93139.xlsx","ul_93139")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HYPERLINK("./new_k5/query_cmdrels_weight_analyze/0.2_0.5_0.3/ul_98461.xlsx","ul_98461")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HYPERLINK("./new_k5/query_cmdrels_weight_analyze/0.2_0.6_0.2/au_102733.xlsx","au_102733")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HYPERLINK("./new_k5/query_cmdrels_weight_analyze/0.2_0.6_0.2/au_1029436.xlsx","au_1029436")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HYPERLINK("./new_k5/query_cmdrels_weight_analyze/0.2_0.6_0.2/au_1029502.xlsx","au_1029502")</f>
        <v>au_1029502</v>
      </c>
      <c r="B5">
        <v>0.25</v>
      </c>
      <c r="C5">
        <v>0.25</v>
      </c>
      <c r="D5">
        <v>0.25</v>
      </c>
      <c r="E5">
        <v>0.25</v>
      </c>
      <c r="F5">
        <v>0.375</v>
      </c>
      <c r="G5">
        <v>0.25</v>
      </c>
    </row>
    <row r="6" spans="1:7" x14ac:dyDescent="0.15">
      <c r="A6" t="str">
        <f>HYPERLINK("./new_k5/query_cmdrels_weight_analyze/0.2_0.6_0.2/au_1029531.xlsx","au_1029531")</f>
        <v>au_1029531</v>
      </c>
      <c r="B6">
        <v>0.33333333333333331</v>
      </c>
      <c r="C6">
        <v>0</v>
      </c>
      <c r="D6">
        <v>0.33333333333333331</v>
      </c>
      <c r="E6">
        <v>0.16666666666666671</v>
      </c>
      <c r="F6">
        <v>0.46666666666666662</v>
      </c>
      <c r="G6">
        <v>0.16666666666666671</v>
      </c>
    </row>
    <row r="7" spans="1:7" x14ac:dyDescent="0.15">
      <c r="A7" t="str">
        <f>HYPERLINK("./new_k5/query_cmdrels_weight_analyze/0.2_0.6_0.2/au_104542.xlsx","au_104542")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HYPERLINK("./new_k5/query_cmdrels_weight_analyze/0.2_0.6_0.2/au_109070.xlsx","au_109070")</f>
        <v>au_109070</v>
      </c>
      <c r="B8">
        <v>0</v>
      </c>
      <c r="C8">
        <v>0</v>
      </c>
      <c r="D8">
        <v>0.23333333333333331</v>
      </c>
      <c r="E8">
        <v>0</v>
      </c>
      <c r="F8">
        <v>0.3833333333333333</v>
      </c>
      <c r="G8">
        <v>0.05</v>
      </c>
    </row>
    <row r="9" spans="1:7" x14ac:dyDescent="0.15">
      <c r="A9" t="str">
        <f>HYPERLINK("./new_k5/query_cmdrels_weight_analyze/0.2_0.6_0.2/au_109381.xlsx","au_109381")</f>
        <v>au_109381</v>
      </c>
      <c r="B9">
        <v>0</v>
      </c>
      <c r="C9">
        <v>0.5</v>
      </c>
      <c r="D9">
        <v>0.25</v>
      </c>
      <c r="E9">
        <v>0.83333333333333326</v>
      </c>
      <c r="F9">
        <v>0.25</v>
      </c>
      <c r="G9">
        <v>0.83333333333333326</v>
      </c>
    </row>
    <row r="10" spans="1:7" x14ac:dyDescent="0.15">
      <c r="A10" t="str">
        <f>HYPERLINK("./new_k5/query_cmdrels_weight_analyze/0.2_0.6_0.2/au_110477.xlsx","au_110477")</f>
        <v>au_110477</v>
      </c>
      <c r="B10">
        <v>0.25</v>
      </c>
      <c r="C10">
        <v>0.25</v>
      </c>
      <c r="D10">
        <v>0.5</v>
      </c>
      <c r="E10">
        <v>0.75</v>
      </c>
      <c r="F10">
        <v>0.5</v>
      </c>
      <c r="G10">
        <v>0.75</v>
      </c>
    </row>
    <row r="11" spans="1:7" x14ac:dyDescent="0.15">
      <c r="A11" t="str">
        <f>HYPERLINK("./new_k5/query_cmdrels_weight_analyze/0.2_0.6_0.2/au_111678.xlsx","au_111678")</f>
        <v>au_111678</v>
      </c>
      <c r="B11">
        <v>0</v>
      </c>
      <c r="C11">
        <v>0</v>
      </c>
      <c r="D11">
        <v>0.1111111111111111</v>
      </c>
      <c r="E11">
        <v>0.16666666666666671</v>
      </c>
      <c r="F11">
        <v>0.1111111111111111</v>
      </c>
      <c r="G11">
        <v>0.16666666666666671</v>
      </c>
    </row>
    <row r="12" spans="1:7" x14ac:dyDescent="0.15">
      <c r="A12" t="str">
        <f>HYPERLINK("./new_k5/query_cmdrels_weight_analyze/0.2_0.6_0.2/au_112512.xlsx","au_112512")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HYPERLINK("./new_k5/query_cmdrels_weight_analyze/0.2_0.6_0.2/au_115369.xlsx","au_115369")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HYPERLINK("./new_k5/query_cmdrels_weight_analyze/0.2_0.6_0.2/au_11789.xlsx","au_11789")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HYPERLINK("./new_k5/query_cmdrels_weight_analyze/0.2_0.6_0.2/au_117950.xlsx","au_117950")</f>
        <v>au_117950</v>
      </c>
      <c r="B15">
        <v>0</v>
      </c>
      <c r="C15">
        <v>0</v>
      </c>
      <c r="D15">
        <v>0.16666666666666671</v>
      </c>
      <c r="E15">
        <v>0.16666666666666671</v>
      </c>
      <c r="F15">
        <v>0.16666666666666671</v>
      </c>
      <c r="G15">
        <v>0.3666666666666667</v>
      </c>
    </row>
    <row r="16" spans="1:7" x14ac:dyDescent="0.15">
      <c r="A16" t="str">
        <f>HYPERLINK("./new_k5/query_cmdrels_weight_analyze/0.2_0.6_0.2/au_122113.xlsx","au_122113")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HYPERLINK("./new_k5/query_cmdrels_weight_analyze/0.2_0.6_0.2/au_123798.xlsx","au_123798")</f>
        <v>au_123798</v>
      </c>
      <c r="B17">
        <v>0</v>
      </c>
      <c r="C17">
        <v>0</v>
      </c>
      <c r="D17">
        <v>5.5555555555555552E-2</v>
      </c>
      <c r="E17">
        <v>5.5555555555555552E-2</v>
      </c>
      <c r="F17">
        <v>0.23888888888888879</v>
      </c>
      <c r="G17">
        <v>0.23888888888888879</v>
      </c>
    </row>
    <row r="18" spans="1:7" x14ac:dyDescent="0.15">
      <c r="A18" t="str">
        <f>HYPERLINK("./new_k5/query_cmdrels_weight_analyze/0.2_0.6_0.2/au_125257.xlsx","au_125257")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HYPERLINK("./new_k5/query_cmdrels_weight_analyze/0.2_0.6_0.2/au_126153.xlsx","au_126153")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0.27777777777777768</v>
      </c>
      <c r="F19">
        <v>0.45833333333333331</v>
      </c>
      <c r="G19">
        <v>0.27777777777777768</v>
      </c>
    </row>
    <row r="20" spans="1:7" x14ac:dyDescent="0.15">
      <c r="A20" t="str">
        <f>HYPERLINK("./new_k5/query_cmdrels_weight_analyze/0.2_0.6_0.2/au_127326.xlsx","au_127326")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HYPERLINK("./new_k5/query_cmdrels_weight_analyze/0.2_0.6_0.2/au_128463.xlsx","au_128463")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HYPERLINK("./new_k5/query_cmdrels_weight_analyze/0.2_0.6_0.2/au_130393.xlsx","au_130393")</f>
        <v>au_130393</v>
      </c>
      <c r="B22">
        <v>0</v>
      </c>
      <c r="C22">
        <v>0.25</v>
      </c>
      <c r="D22">
        <v>0.125</v>
      </c>
      <c r="E22">
        <v>0.25</v>
      </c>
      <c r="F22">
        <v>0.125</v>
      </c>
      <c r="G22">
        <v>0.375</v>
      </c>
    </row>
    <row r="23" spans="1:7" x14ac:dyDescent="0.15">
      <c r="A23" t="str">
        <f>HYPERLINK("./new_k5/query_cmdrels_weight_analyze/0.2_0.6_0.2/au_131570.xlsx","au_131570")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HYPERLINK("./new_k5/query_cmdrels_weight_analyze/0.2_0.6_0.2/au_133318.xlsx","au_133318")</f>
        <v>au_133318</v>
      </c>
      <c r="B24">
        <v>0</v>
      </c>
      <c r="C24">
        <v>0.25</v>
      </c>
      <c r="D24">
        <v>0</v>
      </c>
      <c r="E24">
        <v>0.41666666666666657</v>
      </c>
      <c r="F24">
        <v>0</v>
      </c>
      <c r="G24">
        <v>0.41666666666666657</v>
      </c>
    </row>
    <row r="25" spans="1:7" x14ac:dyDescent="0.15">
      <c r="A25" t="str">
        <f>HYPERLINK("./new_k5/query_cmdrels_weight_analyze/0.2_0.6_0.2/au_133343.xlsx","au_133343")</f>
        <v>au_133343</v>
      </c>
      <c r="B25">
        <v>0</v>
      </c>
      <c r="C25">
        <v>0</v>
      </c>
      <c r="D25">
        <v>0</v>
      </c>
      <c r="E25">
        <v>0.1111111111111111</v>
      </c>
      <c r="F25">
        <v>0</v>
      </c>
      <c r="G25">
        <v>0.27777777777777768</v>
      </c>
    </row>
    <row r="26" spans="1:7" x14ac:dyDescent="0.15">
      <c r="A26" t="str">
        <f>HYPERLINK("./new_k5/query_cmdrels_weight_analyze/0.2_0.6_0.2/au_133389.xlsx","au_133389")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HYPERLINK("./new_k5/query_cmdrels_weight_analyze/0.2_0.6_0.2/au_141277.xlsx","au_141277")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HYPERLINK("./new_k5/query_cmdrels_weight_analyze/0.2_0.6_0.2/au_143819.xlsx","au_143819")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HYPERLINK("./new_k5/query_cmdrels_weight_analyze/0.2_0.6_0.2/au_145935.xlsx","au_145935")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HYPERLINK("./new_k5/query_cmdrels_weight_analyze/0.2_0.6_0.2/au_147241.xlsx","au_147241")</f>
        <v>au_147241</v>
      </c>
      <c r="B30">
        <v>0</v>
      </c>
      <c r="C30">
        <v>0</v>
      </c>
      <c r="D30">
        <v>0.29166666666666657</v>
      </c>
      <c r="E30">
        <v>8.3333333333333329E-2</v>
      </c>
      <c r="F30">
        <v>0.29166666666666657</v>
      </c>
      <c r="G30">
        <v>0.18333333333333329</v>
      </c>
    </row>
    <row r="31" spans="1:7" x14ac:dyDescent="0.15">
      <c r="A31" t="str">
        <f>HYPERLINK("./new_k5/query_cmdrels_weight_analyze/0.2_0.6_0.2/au_147800.xlsx","au_147800")</f>
        <v>au_147800</v>
      </c>
      <c r="B31">
        <v>0</v>
      </c>
      <c r="C31">
        <v>0</v>
      </c>
      <c r="D31">
        <v>0.1111111111111111</v>
      </c>
      <c r="E31">
        <v>0.1111111111111111</v>
      </c>
      <c r="F31">
        <v>0.1111111111111111</v>
      </c>
      <c r="G31">
        <v>0.1111111111111111</v>
      </c>
    </row>
    <row r="32" spans="1:7" x14ac:dyDescent="0.15">
      <c r="A32" t="str">
        <f>HYPERLINK("./new_k5/query_cmdrels_weight_analyze/0.2_0.6_0.2/au_148321.xlsx","au_148321")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0.27777777777777768</v>
      </c>
    </row>
    <row r="33" spans="1:7" x14ac:dyDescent="0.15">
      <c r="A33" t="str">
        <f>HYPERLINK("./new_k5/query_cmdrels_weight_analyze/0.2_0.6_0.2/au_148638.xlsx","au_148638")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HYPERLINK("./new_k5/query_cmdrels_weight_analyze/0.2_0.6_0.2/au_151049.xlsx","au_151049")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HYPERLINK("./new_k5/query_cmdrels_weight_analyze/0.2_0.6_0.2/au_151941.xlsx","au_151941")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HYPERLINK("./new_k5/query_cmdrels_weight_analyze/0.2_0.6_0.2/au_152297.xlsx","au_152297")</f>
        <v>au_152297</v>
      </c>
      <c r="B36">
        <v>0</v>
      </c>
      <c r="C36">
        <v>0</v>
      </c>
      <c r="D36">
        <v>7.1428571428571425E-2</v>
      </c>
      <c r="E36">
        <v>0.16666666666666671</v>
      </c>
      <c r="F36">
        <v>7.1428571428571425E-2</v>
      </c>
      <c r="G36">
        <v>0.16666666666666671</v>
      </c>
    </row>
    <row r="37" spans="1:7" x14ac:dyDescent="0.15">
      <c r="A37" t="str">
        <f>HYPERLINK("./new_k5/query_cmdrels_weight_analyze/0.2_0.6_0.2/au_153976.xlsx","au_153976")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0.16666666666666671</v>
      </c>
      <c r="F37">
        <v>0.33333333333333331</v>
      </c>
      <c r="G37">
        <v>0.35</v>
      </c>
    </row>
    <row r="38" spans="1:7" x14ac:dyDescent="0.15">
      <c r="A38" t="str">
        <f>HYPERLINK("./new_k5/query_cmdrels_weight_analyze/0.2_0.6_0.2/au_154431.xlsx","au_154431")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HYPERLINK("./new_k5/query_cmdrels_weight_analyze/0.2_0.6_0.2/au_159708.xlsx","au_159708")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0.55555555555555547</v>
      </c>
      <c r="F39">
        <v>0.33333333333333331</v>
      </c>
      <c r="G39">
        <v>0.55555555555555547</v>
      </c>
    </row>
    <row r="40" spans="1:7" x14ac:dyDescent="0.15">
      <c r="A40" t="str">
        <f>HYPERLINK("./new_k5/query_cmdrels_weight_analyze/0.2_0.6_0.2/au_160869.xlsx","au_160869")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HYPERLINK("./new_k5/query_cmdrels_weight_analyze/0.2_0.6_0.2/au_161313.xlsx","au_161313")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0.125</v>
      </c>
    </row>
    <row r="42" spans="1:7" x14ac:dyDescent="0.15">
      <c r="A42" t="str">
        <f>HYPERLINK("./new_k5/query_cmdrels_weight_analyze/0.2_0.6_0.2/au_162075.xlsx","au_162075")</f>
        <v>au_162075</v>
      </c>
      <c r="B42">
        <v>0.25</v>
      </c>
      <c r="C42">
        <v>0</v>
      </c>
      <c r="D42">
        <v>0.5</v>
      </c>
      <c r="E42">
        <v>8.3333333333333329E-2</v>
      </c>
      <c r="F42">
        <v>0.5</v>
      </c>
      <c r="G42">
        <v>0.18333333333333329</v>
      </c>
    </row>
    <row r="43" spans="1:7" x14ac:dyDescent="0.15">
      <c r="A43" t="str">
        <f>HYPERLINK("./new_k5/query_cmdrels_weight_analyze/0.2_0.6_0.2/au_16277.xlsx","au_16277")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0.83333333333333337</v>
      </c>
    </row>
    <row r="44" spans="1:7" x14ac:dyDescent="0.15">
      <c r="A44" t="str">
        <f>HYPERLINK("./new_k5/query_cmdrels_weight_analyze/0.2_0.6_0.2/au_163155.xlsx","au_163155")</f>
        <v>au_163155</v>
      </c>
      <c r="B44">
        <v>0.125</v>
      </c>
      <c r="C44">
        <v>0.125</v>
      </c>
      <c r="D44">
        <v>0.375</v>
      </c>
      <c r="E44">
        <v>0.20833333333333329</v>
      </c>
      <c r="F44">
        <v>0.5</v>
      </c>
      <c r="G44">
        <v>0.40208333333333329</v>
      </c>
    </row>
    <row r="45" spans="1:7" x14ac:dyDescent="0.15">
      <c r="A45" t="str">
        <f>HYPERLINK("./new_k5/query_cmdrels_weight_analyze/0.2_0.6_0.2/au_164473.xlsx","au_164473")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HYPERLINK("./new_k5/query_cmdrels_weight_analyze/0.2_0.6_0.2/au_16584.xlsx","au_16584")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0.15151515151515149</v>
      </c>
      <c r="F46">
        <v>0.13636363636363641</v>
      </c>
      <c r="G46">
        <v>0.2196969696969697</v>
      </c>
    </row>
    <row r="47" spans="1:7" x14ac:dyDescent="0.15">
      <c r="A47" t="str">
        <f>HYPERLINK("./new_k5/query_cmdrels_weight_analyze/0.2_0.6_0.2/au_166420.xlsx","au_166420")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HYPERLINK("./new_k5/query_cmdrels_weight_analyze/0.2_0.6_0.2/au_169473.xlsx","au_169473")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0.33333333333333331</v>
      </c>
      <c r="F48">
        <v>0.43333333333333329</v>
      </c>
      <c r="G48">
        <v>0.33333333333333331</v>
      </c>
    </row>
    <row r="49" spans="1:7" x14ac:dyDescent="0.15">
      <c r="A49" t="str">
        <f>HYPERLINK("./new_k5/query_cmdrels_weight_analyze/0.2_0.6_0.2/au_169516.xlsx","au_169516")</f>
        <v>au_169516</v>
      </c>
      <c r="B49">
        <v>0.25</v>
      </c>
      <c r="C49">
        <v>0.25</v>
      </c>
      <c r="D49">
        <v>0.25</v>
      </c>
      <c r="E49">
        <v>0.5</v>
      </c>
      <c r="F49">
        <v>0.25</v>
      </c>
      <c r="G49">
        <v>0.5</v>
      </c>
    </row>
    <row r="50" spans="1:7" x14ac:dyDescent="0.15">
      <c r="A50" t="str">
        <f>HYPERLINK("./new_k5/query_cmdrels_weight_analyze/0.2_0.6_0.2/au_174292.xlsx","au_174292")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HYPERLINK("./new_k5/query_cmdrels_weight_analyze/0.2_0.6_0.2/au_178481.xlsx","au_178481")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HYPERLINK("./new_k5/query_cmdrels_weight_analyze/0.2_0.6_0.2/au_180925.xlsx","au_180925")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HYPERLINK("./new_k5/query_cmdrels_weight_analyze/0.2_0.6_0.2/au_187888.xlsx","au_187888")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HYPERLINK("./new_k5/query_cmdrels_weight_analyze/0.2_0.6_0.2/au_191390.xlsx","au_191390")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HYPERLINK("./new_k5/query_cmdrels_weight_analyze/0.2_0.6_0.2/au_192798.xlsx","au_192798")</f>
        <v>au_192798</v>
      </c>
      <c r="B55">
        <v>0</v>
      </c>
      <c r="C55">
        <v>0</v>
      </c>
      <c r="D55">
        <v>0</v>
      </c>
      <c r="E55">
        <v>0.5</v>
      </c>
      <c r="F55">
        <v>0</v>
      </c>
      <c r="G55">
        <v>0.5</v>
      </c>
    </row>
    <row r="56" spans="1:7" x14ac:dyDescent="0.15">
      <c r="A56" t="str">
        <f>HYPERLINK("./new_k5/query_cmdrels_weight_analyze/0.2_0.6_0.2/au_201775.xlsx","au_201775")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0.33333333333333331</v>
      </c>
      <c r="F56">
        <v>0.66666666666666663</v>
      </c>
      <c r="G56">
        <v>0.70000000000000007</v>
      </c>
    </row>
    <row r="57" spans="1:7" x14ac:dyDescent="0.15">
      <c r="A57" t="str">
        <f>HYPERLINK("./new_k5/query_cmdrels_weight_analyze/0.2_0.6_0.2/au_204166.xlsx","au_204166")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HYPERLINK("./new_k5/query_cmdrels_weight_analyze/0.2_0.6_0.2/au_207447.xlsx","au_207447")</f>
        <v>au_207447</v>
      </c>
      <c r="B58">
        <v>0.33333333333333331</v>
      </c>
      <c r="C58">
        <v>0</v>
      </c>
      <c r="D58">
        <v>0.33333333333333331</v>
      </c>
      <c r="E58">
        <v>0</v>
      </c>
      <c r="F58">
        <v>0.33333333333333331</v>
      </c>
      <c r="G58">
        <v>0</v>
      </c>
    </row>
    <row r="59" spans="1:7" x14ac:dyDescent="0.15">
      <c r="A59" t="str">
        <f>HYPERLINK("./new_k5/query_cmdrels_weight_analyze/0.2_0.6_0.2/au_210680.xlsx","au_210680")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HYPERLINK("./new_k5/query_cmdrels_weight_analyze/0.2_0.6_0.2/au_214246.xlsx","au_214246")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HYPERLINK("./new_k5/query_cmdrels_weight_analyze/0.2_0.6_0.2/au_214643.xlsx","au_214643")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HYPERLINK("./new_k5/query_cmdrels_weight_analyze/0.2_0.6_0.2/au_2194.xlsx","au_2194")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HYPERLINK("./new_k5/query_cmdrels_weight_analyze/0.2_0.6_0.2/au_221962.xlsx","au_221962")</f>
        <v>au_221962</v>
      </c>
      <c r="B63">
        <v>0</v>
      </c>
      <c r="C63">
        <v>0</v>
      </c>
      <c r="D63">
        <v>5.5555555555555552E-2</v>
      </c>
      <c r="E63">
        <v>5.5555555555555552E-2</v>
      </c>
      <c r="F63">
        <v>0.1388888888888889</v>
      </c>
      <c r="G63">
        <v>0.23888888888888879</v>
      </c>
    </row>
    <row r="64" spans="1:7" x14ac:dyDescent="0.15">
      <c r="A64" t="str">
        <f>HYPERLINK("./new_k5/query_cmdrels_weight_analyze/0.2_0.6_0.2/au_22608.xlsx","au_22608")</f>
        <v>au_22608</v>
      </c>
      <c r="B64">
        <v>0.33333333333333331</v>
      </c>
      <c r="C64">
        <v>0</v>
      </c>
      <c r="D64">
        <v>0.33333333333333331</v>
      </c>
      <c r="E64">
        <v>0.16666666666666671</v>
      </c>
      <c r="F64">
        <v>0.33333333333333331</v>
      </c>
      <c r="G64">
        <v>0.33333333333333331</v>
      </c>
    </row>
    <row r="65" spans="1:7" x14ac:dyDescent="0.15">
      <c r="A65" t="str">
        <f>HYPERLINK("./new_k5/query_cmdrels_weight_analyze/0.2_0.6_0.2/au_230698.xlsx","au_230698")</f>
        <v>au_230698</v>
      </c>
      <c r="B65">
        <v>0.125</v>
      </c>
      <c r="C65">
        <v>0.125</v>
      </c>
      <c r="D65">
        <v>0.25</v>
      </c>
      <c r="E65">
        <v>0.20833333333333329</v>
      </c>
      <c r="F65">
        <v>0.32500000000000001</v>
      </c>
      <c r="G65">
        <v>0.30208333333333331</v>
      </c>
    </row>
    <row r="66" spans="1:7" x14ac:dyDescent="0.15">
      <c r="A66" t="str">
        <f>HYPERLINK("./new_k5/query_cmdrels_weight_analyze/0.2_0.6_0.2/au_232442.xlsx","au_232442")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HYPERLINK("./new_k5/query_cmdrels_weight_analyze/0.2_0.6_0.2/au_233378.xlsx","au_233378")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HYPERLINK("./new_k5/query_cmdrels_weight_analyze/0.2_0.6_0.2/au_24027.xlsx","au_24027")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HYPERLINK("./new_k5/query_cmdrels_weight_analyze/0.2_0.6_0.2/au_246647.xlsx","au_246647")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HYPERLINK("./new_k5/query_cmdrels_weight_analyze/0.2_0.6_0.2/au_254424.xlsx","au_254424")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HYPERLINK("./new_k5/query_cmdrels_weight_analyze/0.2_0.6_0.2/au_255890.xlsx","au_255890")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HYPERLINK("./new_k5/query_cmdrels_weight_analyze/0.2_0.6_0.2/au_257248.xlsx","au_257248")</f>
        <v>au_257248</v>
      </c>
      <c r="B72">
        <v>0</v>
      </c>
      <c r="C72">
        <v>0</v>
      </c>
      <c r="D72">
        <v>0.16666666666666671</v>
      </c>
      <c r="E72">
        <v>4.7619047619047623E-2</v>
      </c>
      <c r="F72">
        <v>0.25238095238095237</v>
      </c>
      <c r="G72">
        <v>0.119047619047619</v>
      </c>
    </row>
    <row r="73" spans="1:7" x14ac:dyDescent="0.15">
      <c r="A73" t="str">
        <f>HYPERLINK("./new_k5/query_cmdrels_weight_analyze/0.2_0.6_0.2/au_259354.xlsx","au_259354")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0.42857142857142849</v>
      </c>
    </row>
    <row r="74" spans="1:7" x14ac:dyDescent="0.15">
      <c r="A74" t="str">
        <f>HYPERLINK("./new_k5/query_cmdrels_weight_analyze/0.2_0.6_0.2/au_263378.xlsx","au_263378")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0.47499999999999998</v>
      </c>
    </row>
    <row r="75" spans="1:7" x14ac:dyDescent="0.15">
      <c r="A75" t="str">
        <f>HYPERLINK("./new_k5/query_cmdrels_weight_analyze/0.2_0.6_0.2/au_264215.xlsx","au_264215")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HYPERLINK("./new_k5/query_cmdrels_weight_analyze/0.2_0.6_0.2/au_265176.xlsx","au_265176")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HYPERLINK("./new_k5/query_cmdrels_weight_analyze/0.2_0.6_0.2/au_275704.xlsx","au_275704")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HYPERLINK("./new_k5/query_cmdrels_weight_analyze/0.2_0.6_0.2/au_276669.xlsx","au_276669")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HYPERLINK("./new_k5/query_cmdrels_weight_analyze/0.2_0.6_0.2/au_277565.xlsx","au_277565")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HYPERLINK("./new_k5/query_cmdrels_weight_analyze/0.2_0.6_0.2/au_278403.xlsx","au_278403")</f>
        <v>au_278403</v>
      </c>
      <c r="B80">
        <v>0</v>
      </c>
      <c r="C80">
        <v>0.25</v>
      </c>
      <c r="D80">
        <v>8.3333333333333329E-2</v>
      </c>
      <c r="E80">
        <v>0.25</v>
      </c>
      <c r="F80">
        <v>0.20833333333333329</v>
      </c>
      <c r="G80">
        <v>0.375</v>
      </c>
    </row>
    <row r="81" spans="1:7" x14ac:dyDescent="0.15">
      <c r="A81" t="str">
        <f>HYPERLINK("./new_k5/query_cmdrels_weight_analyze/0.2_0.6_0.2/au_28039.xlsx","au_28039")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HYPERLINK("./new_k5/query_cmdrels_weight_analyze/0.2_0.6_0.2/au_281509.xlsx","au_281509")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HYPERLINK("./new_k5/query_cmdrels_weight_analyze/0.2_0.6_0.2/au_282806.xlsx","au_282806")</f>
        <v>au_282806</v>
      </c>
      <c r="B83">
        <v>0</v>
      </c>
      <c r="C83">
        <v>0.33333333333333331</v>
      </c>
      <c r="D83">
        <v>0.38888888888888878</v>
      </c>
      <c r="E83">
        <v>0.55555555555555547</v>
      </c>
      <c r="F83">
        <v>0.38888888888888878</v>
      </c>
      <c r="G83">
        <v>0.80555555555555547</v>
      </c>
    </row>
    <row r="84" spans="1:7" x14ac:dyDescent="0.15">
      <c r="A84" t="str">
        <f>HYPERLINK("./new_k5/query_cmdrels_weight_analyze/0.2_0.6_0.2/au_283559.xlsx","au_283559")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HYPERLINK("./new_k5/query_cmdrels_weight_analyze/0.2_0.6_0.2/au_285539.xlsx","au_285539")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HYPERLINK("./new_k5/query_cmdrels_weight_analyze/0.2_0.6_0.2/au_287532.xlsx","au_287532")</f>
        <v>au_287532</v>
      </c>
      <c r="B86">
        <v>0</v>
      </c>
      <c r="C86">
        <v>0.25</v>
      </c>
      <c r="D86">
        <v>0</v>
      </c>
      <c r="E86">
        <v>0.41666666666666657</v>
      </c>
      <c r="F86">
        <v>0</v>
      </c>
      <c r="G86">
        <v>0.41666666666666657</v>
      </c>
    </row>
    <row r="87" spans="1:7" x14ac:dyDescent="0.15">
      <c r="A87" t="str">
        <f>HYPERLINK("./new_k5/query_cmdrels_weight_analyze/0.2_0.6_0.2/au_294257.xlsx","au_294257")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HYPERLINK("./new_k5/query_cmdrels_weight_analyze/0.2_0.6_0.2/au_296155.xlsx","au_296155")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HYPERLINK("./new_k5/query_cmdrels_weight_analyze/0.2_0.6_0.2/au_299975.xlsx","au_299975")</f>
        <v>au_299975</v>
      </c>
      <c r="B89">
        <v>0.25</v>
      </c>
      <c r="C89">
        <v>0</v>
      </c>
      <c r="D89">
        <v>0.5</v>
      </c>
      <c r="E89">
        <v>0.125</v>
      </c>
      <c r="F89">
        <v>0.6875</v>
      </c>
      <c r="G89">
        <v>0.25</v>
      </c>
    </row>
    <row r="90" spans="1:7" x14ac:dyDescent="0.15">
      <c r="A90" t="str">
        <f>HYPERLINK("./new_k5/query_cmdrels_weight_analyze/0.2_0.6_0.2/au_301096.xlsx","au_301096")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HYPERLINK("./new_k5/query_cmdrels_weight_analyze/0.2_0.6_0.2/au_303593.xlsx","au_303593")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HYPERLINK("./new_k5/query_cmdrels_weight_analyze/0.2_0.6_0.2/au_303849.xlsx","au_303849")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HYPERLINK("./new_k5/query_cmdrels_weight_analyze/0.2_0.6_0.2/au_307541.xlsx","au_307541")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HYPERLINK("./new_k5/query_cmdrels_weight_analyze/0.2_0.6_0.2/au_307688.xlsx","au_307688")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HYPERLINK("./new_k5/query_cmdrels_weight_analyze/0.2_0.6_0.2/au_309047.xlsx","au_309047")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HYPERLINK("./new_k5/query_cmdrels_weight_analyze/0.2_0.6_0.2/au_311558.xlsx","au_311558")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0.41666666666666657</v>
      </c>
    </row>
    <row r="97" spans="1:7" x14ac:dyDescent="0.15">
      <c r="A97" t="str">
        <f>HYPERLINK("./new_k5/query_cmdrels_weight_analyze/0.2_0.6_0.2/au_318973.xlsx","au_318973")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HYPERLINK("./new_k5/query_cmdrels_weight_analyze/0.2_0.6_0.2/au_3205.xlsx","au_3205")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HYPERLINK("./new_k5/query_cmdrels_weight_analyze/0.2_0.6_0.2/au_323131.xlsx","au_323131")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HYPERLINK("./new_k5/query_cmdrels_weight_analyze/0.2_0.6_0.2/au_323392.xlsx","au_323392")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HYPERLINK("./new_k5/query_cmdrels_weight_analyze/0.2_0.6_0.2/au_325368.xlsx","au_325368")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HYPERLINK("./new_k5/query_cmdrels_weight_analyze/0.2_0.6_0.2/au_328162.xlsx","au_328162")</f>
        <v>au_328162</v>
      </c>
      <c r="B102">
        <v>0.33333333333333331</v>
      </c>
      <c r="C102">
        <v>0.33333333333333331</v>
      </c>
      <c r="D102">
        <v>1</v>
      </c>
      <c r="E102">
        <v>0.33333333333333331</v>
      </c>
      <c r="F102">
        <v>1</v>
      </c>
      <c r="G102">
        <v>0.5</v>
      </c>
    </row>
    <row r="103" spans="1:7" x14ac:dyDescent="0.15">
      <c r="A103" t="str">
        <f>HYPERLINK("./new_k5/query_cmdrels_weight_analyze/0.2_0.6_0.2/au_330148.xlsx","au_330148")</f>
        <v>au_330148</v>
      </c>
      <c r="B103">
        <v>0</v>
      </c>
      <c r="C103">
        <v>0.2</v>
      </c>
      <c r="D103">
        <v>0.23333333333333331</v>
      </c>
      <c r="E103">
        <v>0.33333333333333331</v>
      </c>
      <c r="F103">
        <v>0.54333333333333333</v>
      </c>
      <c r="G103">
        <v>0.33333333333333331</v>
      </c>
    </row>
    <row r="104" spans="1:7" x14ac:dyDescent="0.15">
      <c r="A104" t="str">
        <f>HYPERLINK("./new_k5/query_cmdrels_weight_analyze/0.2_0.6_0.2/au_332315.xlsx","au_332315")</f>
        <v>au_332315</v>
      </c>
      <c r="B104">
        <v>0.33333333333333331</v>
      </c>
      <c r="C104">
        <v>0.33333333333333331</v>
      </c>
      <c r="D104">
        <v>0.55555555555555547</v>
      </c>
      <c r="E104">
        <v>0.33333333333333331</v>
      </c>
      <c r="F104">
        <v>0.75555555555555554</v>
      </c>
      <c r="G104">
        <v>0.33333333333333331</v>
      </c>
    </row>
    <row r="105" spans="1:7" x14ac:dyDescent="0.15">
      <c r="A105" t="str">
        <f>HYPERLINK("./new_k5/query_cmdrels_weight_analyze/0.2_0.6_0.2/au_334081.xlsx","au_334081")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HYPERLINK("./new_k5/query_cmdrels_weight_analyze/0.2_0.6_0.2/au_34077.xlsx","au_34077")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0.5</v>
      </c>
      <c r="F106">
        <v>0.33333333333333331</v>
      </c>
      <c r="G106">
        <v>0.6333333333333333</v>
      </c>
    </row>
    <row r="107" spans="1:7" x14ac:dyDescent="0.15">
      <c r="A107" t="str">
        <f>HYPERLINK("./new_k5/query_cmdrels_weight_analyze/0.2_0.6_0.2/au_341428.xlsx","au_341428")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HYPERLINK("./new_k5/query_cmdrels_weight_analyze/0.2_0.6_0.2/au_341584.xlsx","au_341584")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HYPERLINK("./new_k5/query_cmdrels_weight_analyze/0.2_0.6_0.2/au_346864.xlsx","au_346864")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0.14285714285714279</v>
      </c>
      <c r="F109">
        <v>0.23809523809523811</v>
      </c>
      <c r="G109">
        <v>0.2142857142857143</v>
      </c>
    </row>
    <row r="110" spans="1:7" x14ac:dyDescent="0.15">
      <c r="A110" t="str">
        <f>HYPERLINK("./new_k5/query_cmdrels_weight_analyze/0.2_0.6_0.2/au_351765.xlsx","au_351765")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0.5</v>
      </c>
    </row>
    <row r="111" spans="1:7" x14ac:dyDescent="0.15">
      <c r="A111" t="str">
        <f>HYPERLINK("./new_k5/query_cmdrels_weight_analyze/0.2_0.6_0.2/au_35922.xlsx","au_35922")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HYPERLINK("./new_k5/query_cmdrels_weight_analyze/0.2_0.6_0.2/au_359856.xlsx","au_359856")</f>
        <v>au_359856</v>
      </c>
      <c r="B112">
        <v>0.25</v>
      </c>
      <c r="C112">
        <v>0.25</v>
      </c>
      <c r="D112">
        <v>0.75</v>
      </c>
      <c r="E112">
        <v>0.41666666666666657</v>
      </c>
      <c r="F112">
        <v>0.95</v>
      </c>
      <c r="G112">
        <v>0.41666666666666657</v>
      </c>
    </row>
    <row r="113" spans="1:7" x14ac:dyDescent="0.15">
      <c r="A113" t="str">
        <f>HYPERLINK("./new_k5/query_cmdrels_weight_analyze/0.2_0.6_0.2/au_360423.xlsx","au_360423")</f>
        <v>au_360423</v>
      </c>
      <c r="B113">
        <v>0</v>
      </c>
      <c r="C113">
        <v>0</v>
      </c>
      <c r="D113">
        <v>0</v>
      </c>
      <c r="E113">
        <v>0.25</v>
      </c>
      <c r="F113">
        <v>0</v>
      </c>
      <c r="G113">
        <v>0.25</v>
      </c>
    </row>
    <row r="114" spans="1:7" x14ac:dyDescent="0.15">
      <c r="A114" t="str">
        <f>HYPERLINK("./new_k5/query_cmdrels_weight_analyze/0.2_0.6_0.2/au_36287.xlsx","au_36287")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HYPERLINK("./new_k5/query_cmdrels_weight_analyze/0.2_0.6_0.2/au_366742.xlsx","au_366742")</f>
        <v>au_366742</v>
      </c>
      <c r="B115">
        <v>0</v>
      </c>
      <c r="C115">
        <v>0</v>
      </c>
      <c r="D115">
        <v>0</v>
      </c>
      <c r="E115">
        <v>0.125</v>
      </c>
      <c r="F115">
        <v>0</v>
      </c>
      <c r="G115">
        <v>0.25</v>
      </c>
    </row>
    <row r="116" spans="1:7" x14ac:dyDescent="0.15">
      <c r="A116" t="str">
        <f>HYPERLINK("./new_k5/query_cmdrels_weight_analyze/0.2_0.6_0.2/au_377937.xlsx","au_377937")</f>
        <v>au_377937</v>
      </c>
      <c r="B116">
        <v>0.25</v>
      </c>
      <c r="C116">
        <v>0.25</v>
      </c>
      <c r="D116">
        <v>0.5</v>
      </c>
      <c r="E116">
        <v>0.5</v>
      </c>
      <c r="F116">
        <v>0.5</v>
      </c>
      <c r="G116">
        <v>0.6875</v>
      </c>
    </row>
    <row r="117" spans="1:7" x14ac:dyDescent="0.15">
      <c r="A117" t="str">
        <f>HYPERLINK("./new_k5/query_cmdrels_weight_analyze/0.2_0.6_0.2/au_383997.xlsx","au_383997")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0.2857142857142857</v>
      </c>
    </row>
    <row r="118" spans="1:7" x14ac:dyDescent="0.15">
      <c r="A118" t="str">
        <f>HYPERLINK("./new_k5/query_cmdrels_weight_analyze/0.2_0.6_0.2/au_3883.xlsx","au_3883")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0.35</v>
      </c>
    </row>
    <row r="119" spans="1:7" x14ac:dyDescent="0.15">
      <c r="A119" t="str">
        <f>HYPERLINK("./new_k5/query_cmdrels_weight_analyze/0.2_0.6_0.2/au_396883.xlsx","au_396883")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HYPERLINK("./new_k5/query_cmdrels_weight_analyze/0.2_0.6_0.2/au_39760.xlsx","au_39760")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HYPERLINK("./new_k5/query_cmdrels_weight_analyze/0.2_0.6_0.2/au_398818.xlsx","au_398818")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HYPERLINK("./new_k5/query_cmdrels_weight_analyze/0.2_0.6_0.2/au_400807.xlsx","au_400807")</f>
        <v>au_400807</v>
      </c>
      <c r="B122">
        <v>0</v>
      </c>
      <c r="C122">
        <v>0.33333333333333331</v>
      </c>
      <c r="D122">
        <v>0.16666666666666671</v>
      </c>
      <c r="E122">
        <v>0.55555555555555547</v>
      </c>
      <c r="F122">
        <v>0.16666666666666671</v>
      </c>
      <c r="G122">
        <v>0.75555555555555554</v>
      </c>
    </row>
    <row r="123" spans="1:7" x14ac:dyDescent="0.15">
      <c r="A123" t="str">
        <f>HYPERLINK("./new_k5/query_cmdrels_weight_analyze/0.2_0.6_0.2/au_408611.xlsx","au_408611")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HYPERLINK("./new_k5/query_cmdrels_weight_analyze/0.2_0.6_0.2/au_414737.xlsx","au_414737")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HYPERLINK("./new_k5/query_cmdrels_weight_analyze/0.2_0.6_0.2/au_420722.xlsx","au_420722")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HYPERLINK("./new_k5/query_cmdrels_weight_analyze/0.2_0.6_0.2/au_423942.xlsx","au_423942")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HYPERLINK("./new_k5/query_cmdrels_weight_analyze/0.2_0.6_0.2/au_430382.xlsx","au_430382")</f>
        <v>au_430382</v>
      </c>
      <c r="B127">
        <v>0</v>
      </c>
      <c r="C127">
        <v>0</v>
      </c>
      <c r="D127">
        <v>0.29166666666666657</v>
      </c>
      <c r="E127">
        <v>0.29166666666666657</v>
      </c>
      <c r="F127">
        <v>0.29166666666666657</v>
      </c>
      <c r="G127">
        <v>0.29166666666666657</v>
      </c>
    </row>
    <row r="128" spans="1:7" x14ac:dyDescent="0.15">
      <c r="A128" t="str">
        <f>HYPERLINK("./new_k5/query_cmdrels_weight_analyze/0.2_0.6_0.2/au_432836.xlsx","au_432836")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0.14285714285714279</v>
      </c>
      <c r="F128">
        <v>0.2142857142857143</v>
      </c>
      <c r="G128">
        <v>0.14285714285714279</v>
      </c>
    </row>
    <row r="129" spans="1:7" x14ac:dyDescent="0.15">
      <c r="A129" t="str">
        <f>HYPERLINK("./new_k5/query_cmdrels_weight_analyze/0.2_0.6_0.2/au_440326.xlsx","au_440326")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HYPERLINK("./new_k5/query_cmdrels_weight_analyze/0.2_0.6_0.2/au_442914.xlsx","au_442914")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HYPERLINK("./new_k5/query_cmdrels_weight_analyze/0.2_0.6_0.2/au_443227.xlsx","au_443227")</f>
        <v>au_443227</v>
      </c>
      <c r="B131">
        <v>0.5</v>
      </c>
      <c r="C131">
        <v>0</v>
      </c>
      <c r="D131">
        <v>0.5</v>
      </c>
      <c r="E131">
        <v>0</v>
      </c>
      <c r="F131">
        <v>0.5</v>
      </c>
      <c r="G131">
        <v>0.1</v>
      </c>
    </row>
    <row r="132" spans="1:7" x14ac:dyDescent="0.15">
      <c r="A132" t="str">
        <f>HYPERLINK("./new_k5/query_cmdrels_weight_analyze/0.2_0.6_0.2/au_44534.xlsx","au_44534")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HYPERLINK("./new_k5/query_cmdrels_weight_analyze/0.2_0.6_0.2/au_451805.xlsx","au_451805")</f>
        <v>au_451805</v>
      </c>
      <c r="B133">
        <v>0.33333333333333331</v>
      </c>
      <c r="C133">
        <v>0.33333333333333331</v>
      </c>
      <c r="D133">
        <v>0.33333333333333331</v>
      </c>
      <c r="E133">
        <v>0.33333333333333331</v>
      </c>
      <c r="F133">
        <v>0.33333333333333331</v>
      </c>
      <c r="G133">
        <v>0.33333333333333331</v>
      </c>
    </row>
    <row r="134" spans="1:7" x14ac:dyDescent="0.15">
      <c r="A134" t="str">
        <f>HYPERLINK("./new_k5/query_cmdrels_weight_analyze/0.2_0.6_0.2/au_464264.xlsx","au_464264")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0.16666666666666671</v>
      </c>
    </row>
    <row r="135" spans="1:7" x14ac:dyDescent="0.15">
      <c r="A135" t="str">
        <f>HYPERLINK("./new_k5/query_cmdrels_weight_analyze/0.2_0.6_0.2/au_468808.xlsx","au_468808")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HYPERLINK("./new_k5/query_cmdrels_weight_analyze/0.2_0.6_0.2/au_469143.xlsx","au_469143")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HYPERLINK("./new_k5/query_cmdrels_weight_analyze/0.2_0.6_0.2/au_470237.xlsx","au_470237")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HYPERLINK("./new_k5/query_cmdrels_weight_analyze/0.2_0.6_0.2/au_473037.xlsx","au_473037")</f>
        <v>au_473037</v>
      </c>
      <c r="B138">
        <v>0.5</v>
      </c>
      <c r="C138">
        <v>0.5</v>
      </c>
      <c r="D138">
        <v>0.83333333333333326</v>
      </c>
      <c r="E138">
        <v>0.5</v>
      </c>
      <c r="F138">
        <v>0.83333333333333326</v>
      </c>
      <c r="G138">
        <v>0.5</v>
      </c>
    </row>
    <row r="139" spans="1:7" x14ac:dyDescent="0.15">
      <c r="A139" t="str">
        <f>HYPERLINK("./new_k5/query_cmdrels_weight_analyze/0.2_0.6_0.2/au_48362.xlsx","au_48362")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HYPERLINK("./new_k5/query_cmdrels_weight_analyze/0.2_0.6_0.2/au_488435.xlsx","au_488435")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HYPERLINK("./new_k5/query_cmdrels_weight_analyze/0.2_0.6_0.2/au_493826.xlsx","au_493826")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HYPERLINK("./new_k5/query_cmdrels_weight_analyze/0.2_0.6_0.2/au_502110.xlsx","au_502110")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HYPERLINK("./new_k5/query_cmdrels_weight_analyze/0.2_0.6_0.2/au_50344.xlsx","au_50344")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HYPERLINK("./new_k5/query_cmdrels_weight_analyze/0.2_0.6_0.2/au_511467.xlsx","au_511467")</f>
        <v>au_511467</v>
      </c>
      <c r="B144">
        <v>0</v>
      </c>
      <c r="C144">
        <v>0.16666666666666671</v>
      </c>
      <c r="D144">
        <v>0.19444444444444439</v>
      </c>
      <c r="E144">
        <v>0.27777777777777768</v>
      </c>
      <c r="F144">
        <v>0.19444444444444439</v>
      </c>
      <c r="G144">
        <v>0.27777777777777768</v>
      </c>
    </row>
    <row r="145" spans="1:7" x14ac:dyDescent="0.15">
      <c r="A145" t="str">
        <f>HYPERLINK("./new_k5/query_cmdrels_weight_analyze/0.2_0.6_0.2/au_513046.xlsx","au_513046")</f>
        <v>au_513046</v>
      </c>
      <c r="B145">
        <v>0.25</v>
      </c>
      <c r="C145">
        <v>0</v>
      </c>
      <c r="D145">
        <v>0.5</v>
      </c>
      <c r="E145">
        <v>8.3333333333333329E-2</v>
      </c>
      <c r="F145">
        <v>0.5</v>
      </c>
      <c r="G145">
        <v>0.35833333333333328</v>
      </c>
    </row>
    <row r="146" spans="1:7" x14ac:dyDescent="0.15">
      <c r="A146" t="str">
        <f>HYPERLINK("./new_k5/query_cmdrels_weight_analyze/0.2_0.6_0.2/au_517354.xlsx","au_517354")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0.34523809523809518</v>
      </c>
    </row>
    <row r="147" spans="1:7" x14ac:dyDescent="0.15">
      <c r="A147" t="str">
        <f>HYPERLINK("./new_k5/query_cmdrels_weight_analyze/0.2_0.6_0.2/au_522431.xlsx","au_522431")</f>
        <v>au_522431</v>
      </c>
      <c r="B147">
        <v>0</v>
      </c>
      <c r="C147">
        <v>0.2</v>
      </c>
      <c r="D147">
        <v>0.23333333333333331</v>
      </c>
      <c r="E147">
        <v>0.33333333333333331</v>
      </c>
      <c r="F147">
        <v>0.54333333333333333</v>
      </c>
      <c r="G147">
        <v>0.48333333333333328</v>
      </c>
    </row>
    <row r="148" spans="1:7" x14ac:dyDescent="0.15">
      <c r="A148" t="str">
        <f>HYPERLINK("./new_k5/query_cmdrels_weight_analyze/0.2_0.6_0.2/au_52773.xlsx","au_52773")</f>
        <v>au_52773</v>
      </c>
      <c r="B148">
        <v>0</v>
      </c>
      <c r="C148">
        <v>0</v>
      </c>
      <c r="D148">
        <v>0.23333333333333331</v>
      </c>
      <c r="E148">
        <v>6.6666666666666666E-2</v>
      </c>
      <c r="F148">
        <v>0.23333333333333331</v>
      </c>
      <c r="G148">
        <v>6.6666666666666666E-2</v>
      </c>
    </row>
    <row r="149" spans="1:7" x14ac:dyDescent="0.15">
      <c r="A149" t="str">
        <f>HYPERLINK("./new_k5/query_cmdrels_weight_analyze/0.2_0.6_0.2/au_528411.xlsx","au_528411")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HYPERLINK("./new_k5/query_cmdrels_weight_analyze/0.2_0.6_0.2/au_53263.xlsx","au_53263")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1</v>
      </c>
    </row>
    <row r="151" spans="1:7" x14ac:dyDescent="0.15">
      <c r="A151" t="str">
        <f>HYPERLINK("./new_k5/query_cmdrels_weight_analyze/0.2_0.6_0.2/au_53444.xlsx","au_53444")</f>
        <v>au_53444</v>
      </c>
      <c r="B151">
        <v>0.5</v>
      </c>
      <c r="C151">
        <v>0</v>
      </c>
      <c r="D151">
        <v>0.5</v>
      </c>
      <c r="E151">
        <v>0.16666666666666671</v>
      </c>
      <c r="F151">
        <v>0.5</v>
      </c>
      <c r="G151">
        <v>0.16666666666666671</v>
      </c>
    </row>
    <row r="152" spans="1:7" x14ac:dyDescent="0.15">
      <c r="A152" t="str">
        <f>HYPERLINK("./new_k5/query_cmdrels_weight_analyze/0.2_0.6_0.2/au_538208.xlsx","au_538208")</f>
        <v>au_538208</v>
      </c>
      <c r="B152">
        <v>0.125</v>
      </c>
      <c r="C152">
        <v>0.125</v>
      </c>
      <c r="D152">
        <v>0.375</v>
      </c>
      <c r="E152">
        <v>0.25</v>
      </c>
      <c r="F152">
        <v>0.5</v>
      </c>
      <c r="G152">
        <v>0.44374999999999998</v>
      </c>
    </row>
    <row r="153" spans="1:7" x14ac:dyDescent="0.15">
      <c r="A153" t="str">
        <f>HYPERLINK("./new_k5/query_cmdrels_weight_analyze/0.2_0.6_0.2/au_53822.xlsx","au_53822")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HYPERLINK("./new_k5/query_cmdrels_weight_analyze/0.2_0.6_0.2/au_539243.xlsx","au_539243")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</v>
      </c>
    </row>
    <row r="155" spans="1:7" x14ac:dyDescent="0.15">
      <c r="A155" t="str">
        <f>HYPERLINK("./new_k5/query_cmdrels_weight_analyze/0.2_0.6_0.2/au_558280.xlsx","au_558280")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HYPERLINK("./new_k5/query_cmdrels_weight_analyze/0.2_0.6_0.2/au_558669.xlsx","au_558669")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HYPERLINK("./new_k5/query_cmdrels_weight_analyze/0.2_0.6_0.2/au_55868.xlsx","au_55868")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HYPERLINK("./new_k5/query_cmdrels_weight_analyze/0.2_0.6_0.2/au_561.xlsx","au_561")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0.65</v>
      </c>
    </row>
    <row r="159" spans="1:7" x14ac:dyDescent="0.15">
      <c r="A159" t="str">
        <f>HYPERLINK("./new_k5/query_cmdrels_weight_analyze/0.2_0.6_0.2/au_564567.xlsx","au_564567")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HYPERLINK("./new_k5/query_cmdrels_weight_analyze/0.2_0.6_0.2/au_57994.xlsx","au_57994")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0.2857142857142857</v>
      </c>
      <c r="F160">
        <v>0.5714285714285714</v>
      </c>
      <c r="G160">
        <v>0.50714285714285712</v>
      </c>
    </row>
    <row r="161" spans="1:7" x14ac:dyDescent="0.15">
      <c r="A161" t="str">
        <f>HYPERLINK("./new_k5/query_cmdrels_weight_analyze/0.2_0.6_0.2/au_589210.xlsx","au_589210")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0.35</v>
      </c>
    </row>
    <row r="162" spans="1:7" x14ac:dyDescent="0.15">
      <c r="A162" t="str">
        <f>HYPERLINK("./new_k5/query_cmdrels_weight_analyze/0.2_0.6_0.2/au_5911.xlsx","au_5911")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HYPERLINK("./new_k5/query_cmdrels_weight_analyze/0.2_0.6_0.2/au_59356.xlsx","au_59356")</f>
        <v>au_59356</v>
      </c>
      <c r="B163">
        <v>0</v>
      </c>
      <c r="C163">
        <v>0</v>
      </c>
      <c r="D163">
        <v>0.16666666666666671</v>
      </c>
      <c r="E163">
        <v>0</v>
      </c>
      <c r="F163">
        <v>0.16666666666666671</v>
      </c>
      <c r="G163">
        <v>0</v>
      </c>
    </row>
    <row r="164" spans="1:7" x14ac:dyDescent="0.15">
      <c r="A164" t="str">
        <f>HYPERLINK("./new_k5/query_cmdrels_weight_analyze/0.2_0.6_0.2/au_609850.xlsx","au_609850")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HYPERLINK("./new_k5/query_cmdrels_weight_analyze/0.2_0.6_0.2/au_61408.xlsx","au_61408")</f>
        <v>au_61408</v>
      </c>
      <c r="B165">
        <v>0</v>
      </c>
      <c r="C165">
        <v>0.33333333333333331</v>
      </c>
      <c r="D165">
        <v>0.16666666666666671</v>
      </c>
      <c r="E165">
        <v>0.33333333333333331</v>
      </c>
      <c r="F165">
        <v>0.16666666666666671</v>
      </c>
      <c r="G165">
        <v>0.33333333333333331</v>
      </c>
    </row>
    <row r="166" spans="1:7" x14ac:dyDescent="0.15">
      <c r="A166" t="str">
        <f>HYPERLINK("./new_k5/query_cmdrels_weight_analyze/0.2_0.6_0.2/au_617850.xlsx","au_617850")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HYPERLINK("./new_k5/query_cmdrels_weight_analyze/0.2_0.6_0.2/au_62073.xlsx","au_62073")</f>
        <v>au_62073</v>
      </c>
      <c r="B167">
        <v>0</v>
      </c>
      <c r="C167">
        <v>0.2</v>
      </c>
      <c r="D167">
        <v>0.23333333333333331</v>
      </c>
      <c r="E167">
        <v>0.33333333333333331</v>
      </c>
      <c r="F167">
        <v>0.23333333333333331</v>
      </c>
      <c r="G167">
        <v>0.45333333333333331</v>
      </c>
    </row>
    <row r="168" spans="1:7" x14ac:dyDescent="0.15">
      <c r="A168" t="str">
        <f>HYPERLINK("./new_k5/query_cmdrels_weight_analyze/0.2_0.6_0.2/au_620930.xlsx","au_620930")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0.45333333333333331</v>
      </c>
    </row>
    <row r="169" spans="1:7" x14ac:dyDescent="0.15">
      <c r="A169" t="str">
        <f>HYPERLINK("./new_k5/query_cmdrels_weight_analyze/0.2_0.6_0.2/au_62492.xlsx","au_62492")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HYPERLINK("./new_k5/query_cmdrels_weight_analyze/0.2_0.6_0.2/au_626078.xlsx","au_626078")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HYPERLINK("./new_k5/query_cmdrels_weight_analyze/0.2_0.6_0.2/au_636944.xlsx","au_636944")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HYPERLINK("./new_k5/query_cmdrels_weight_analyze/0.2_0.6_0.2/au_648603.xlsx","au_648603")</f>
        <v>au_648603</v>
      </c>
      <c r="B172">
        <v>0.25</v>
      </c>
      <c r="C172">
        <v>0.25</v>
      </c>
      <c r="D172">
        <v>0.25</v>
      </c>
      <c r="E172">
        <v>0.25</v>
      </c>
      <c r="F172">
        <v>0.25</v>
      </c>
      <c r="G172">
        <v>0.35</v>
      </c>
    </row>
    <row r="173" spans="1:7" x14ac:dyDescent="0.15">
      <c r="A173" t="str">
        <f>HYPERLINK("./new_k5/query_cmdrels_weight_analyze/0.2_0.6_0.2/au_65331.xlsx","au_65331")</f>
        <v>au_65331</v>
      </c>
      <c r="B173">
        <v>0</v>
      </c>
      <c r="C173">
        <v>0.16666666666666671</v>
      </c>
      <c r="D173">
        <v>8.3333333333333329E-2</v>
      </c>
      <c r="E173">
        <v>0.27777777777777768</v>
      </c>
      <c r="F173">
        <v>0.16666666666666671</v>
      </c>
      <c r="G173">
        <v>0.27777777777777768</v>
      </c>
    </row>
    <row r="174" spans="1:7" x14ac:dyDescent="0.15">
      <c r="A174" t="str">
        <f>HYPERLINK("./new_k5/query_cmdrels_weight_analyze/0.2_0.6_0.2/au_66000.xlsx","au_66000")</f>
        <v>au_66000</v>
      </c>
      <c r="B174">
        <v>0</v>
      </c>
      <c r="C174">
        <v>0.2</v>
      </c>
      <c r="D174">
        <v>0</v>
      </c>
      <c r="E174">
        <v>0.2</v>
      </c>
      <c r="F174">
        <v>0</v>
      </c>
      <c r="G174">
        <v>0.42</v>
      </c>
    </row>
    <row r="175" spans="1:7" x14ac:dyDescent="0.15">
      <c r="A175" t="str">
        <f>HYPERLINK("./new_k5/query_cmdrels_weight_analyze/0.2_0.6_0.2/au_660846.xlsx","au_660846")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HYPERLINK("./new_k5/query_cmdrels_weight_analyze/0.2_0.6_0.2/au_662935.xlsx","au_662935")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0.34375</v>
      </c>
    </row>
    <row r="177" spans="1:7" x14ac:dyDescent="0.15">
      <c r="A177" t="str">
        <f>HYPERLINK("./new_k5/query_cmdrels_weight_analyze/0.2_0.6_0.2/au_67663.xlsx","au_67663")</f>
        <v>au_67663</v>
      </c>
      <c r="B177">
        <v>0</v>
      </c>
      <c r="C177">
        <v>0.25</v>
      </c>
      <c r="D177">
        <v>0.29166666666666657</v>
      </c>
      <c r="E177">
        <v>0.75</v>
      </c>
      <c r="F177">
        <v>0.29166666666666657</v>
      </c>
      <c r="G177">
        <v>0.75</v>
      </c>
    </row>
    <row r="178" spans="1:7" x14ac:dyDescent="0.15">
      <c r="A178" t="str">
        <f>HYPERLINK("./new_k5/query_cmdrels_weight_analyze/0.2_0.6_0.2/au_68028.xlsx","au_68028")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0.42857142857142849</v>
      </c>
      <c r="F178">
        <v>0.37142857142857139</v>
      </c>
      <c r="G178">
        <v>0.42857142857142849</v>
      </c>
    </row>
    <row r="179" spans="1:7" x14ac:dyDescent="0.15">
      <c r="A179" t="str">
        <f>HYPERLINK("./new_k5/query_cmdrels_weight_analyze/0.2_0.6_0.2/au_681312.xlsx","au_681312")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0.23809523809523811</v>
      </c>
      <c r="F179">
        <v>0.42857142857142849</v>
      </c>
      <c r="G179">
        <v>0.34523809523809518</v>
      </c>
    </row>
    <row r="180" spans="1:7" x14ac:dyDescent="0.15">
      <c r="A180" t="str">
        <f>HYPERLINK("./new_k5/query_cmdrels_weight_analyze/0.2_0.6_0.2/au_686239.xlsx","au_686239")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HYPERLINK("./new_k5/query_cmdrels_weight_analyze/0.2_0.6_0.2/au_68809.xlsx","au_68809")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0.28333333333333333</v>
      </c>
    </row>
    <row r="182" spans="1:7" x14ac:dyDescent="0.15">
      <c r="A182" t="str">
        <f>HYPERLINK("./new_k5/query_cmdrels_weight_analyze/0.2_0.6_0.2/au_69556.xlsx","au_69556")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HYPERLINK("./new_k5/query_cmdrels_weight_analyze/0.2_0.6_0.2/au_698993.xlsx","au_698993")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HYPERLINK("./new_k5/query_cmdrels_weight_analyze/0.2_0.6_0.2/au_707881.xlsx","au_707881")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HYPERLINK("./new_k5/query_cmdrels_weight_analyze/0.2_0.6_0.2/au_709594.xlsx","au_709594")</f>
        <v>au_709594</v>
      </c>
      <c r="B185">
        <v>0.33333333333333331</v>
      </c>
      <c r="C185">
        <v>0.33333333333333331</v>
      </c>
      <c r="D185">
        <v>0.66666666666666663</v>
      </c>
      <c r="E185">
        <v>0.55555555555555547</v>
      </c>
      <c r="F185">
        <v>0.91666666666666663</v>
      </c>
      <c r="G185">
        <v>0.55555555555555547</v>
      </c>
    </row>
    <row r="186" spans="1:7" x14ac:dyDescent="0.15">
      <c r="A186" t="str">
        <f>HYPERLINK("./new_k5/query_cmdrels_weight_analyze/0.2_0.6_0.2/au_71309.xlsx","au_71309")</f>
        <v>au_71309</v>
      </c>
      <c r="B186">
        <v>0.125</v>
      </c>
      <c r="C186">
        <v>0.125</v>
      </c>
      <c r="D186">
        <v>0.20833333333333329</v>
      </c>
      <c r="E186">
        <v>0.375</v>
      </c>
      <c r="F186">
        <v>0.20833333333333329</v>
      </c>
      <c r="G186">
        <v>0.375</v>
      </c>
    </row>
    <row r="187" spans="1:7" x14ac:dyDescent="0.15">
      <c r="A187" t="str">
        <f>HYPERLINK("./new_k5/query_cmdrels_weight_analyze/0.2_0.6_0.2/au_7138.xlsx","au_7138")</f>
        <v>au_7138</v>
      </c>
      <c r="B187">
        <v>0.25</v>
      </c>
      <c r="C187">
        <v>0</v>
      </c>
      <c r="D187">
        <v>0.75</v>
      </c>
      <c r="E187">
        <v>0</v>
      </c>
      <c r="F187">
        <v>0.75</v>
      </c>
      <c r="G187">
        <v>6.25E-2</v>
      </c>
    </row>
    <row r="188" spans="1:7" x14ac:dyDescent="0.15">
      <c r="A188" t="str">
        <f>HYPERLINK("./new_k5/query_cmdrels_weight_analyze/0.2_0.6_0.2/au_72549.xlsx","au_72549")</f>
        <v>au_72549</v>
      </c>
      <c r="B188">
        <v>0</v>
      </c>
      <c r="C188">
        <v>0.25</v>
      </c>
      <c r="D188">
        <v>0</v>
      </c>
      <c r="E188">
        <v>0.25</v>
      </c>
      <c r="F188">
        <v>0</v>
      </c>
      <c r="G188">
        <v>0.25</v>
      </c>
    </row>
    <row r="189" spans="1:7" x14ac:dyDescent="0.15">
      <c r="A189" t="str">
        <f>HYPERLINK("./new_k5/query_cmdrels_weight_analyze/0.2_0.6_0.2/au_740805.xlsx","au_740805")</f>
        <v>au_740805</v>
      </c>
      <c r="B189">
        <v>0.25</v>
      </c>
      <c r="C189">
        <v>0</v>
      </c>
      <c r="D189">
        <v>0.41666666666666657</v>
      </c>
      <c r="E189">
        <v>8.3333333333333329E-2</v>
      </c>
      <c r="F189">
        <v>0.41666666666666657</v>
      </c>
      <c r="G189">
        <v>0.18333333333333329</v>
      </c>
    </row>
    <row r="190" spans="1:7" x14ac:dyDescent="0.15">
      <c r="A190" t="str">
        <f>HYPERLINK("./new_k5/query_cmdrels_weight_analyze/0.2_0.6_0.2/au_760796.xlsx","au_760796")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HYPERLINK("./new_k5/query_cmdrels_weight_analyze/0.2_0.6_0.2/au_762846.xlsx","au_762846")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0.43333333333333329</v>
      </c>
    </row>
    <row r="192" spans="1:7" x14ac:dyDescent="0.15">
      <c r="A192" t="str">
        <f>HYPERLINK("./new_k5/query_cmdrels_weight_analyze/0.2_0.6_0.2/au_767786.xlsx","au_767786")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0.76</v>
      </c>
    </row>
    <row r="193" spans="1:7" x14ac:dyDescent="0.15">
      <c r="A193" t="str">
        <f>HYPERLINK("./new_k5/query_cmdrels_weight_analyze/0.2_0.6_0.2/au_778906.xlsx","au_778906")</f>
        <v>au_778906</v>
      </c>
      <c r="B193">
        <v>0.2</v>
      </c>
      <c r="C193">
        <v>0.2</v>
      </c>
      <c r="D193">
        <v>0.33333333333333331</v>
      </c>
      <c r="E193">
        <v>0.6</v>
      </c>
      <c r="F193">
        <v>0.33333333333333331</v>
      </c>
      <c r="G193">
        <v>0.6</v>
      </c>
    </row>
    <row r="194" spans="1:7" x14ac:dyDescent="0.15">
      <c r="A194" t="str">
        <f>HYPERLINK("./new_k5/query_cmdrels_weight_analyze/0.2_0.6_0.2/au_818929.xlsx","au_818929")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0.42</v>
      </c>
    </row>
    <row r="195" spans="1:7" x14ac:dyDescent="0.15">
      <c r="A195" t="str">
        <f>HYPERLINK("./new_k5/query_cmdrels_weight_analyze/0.2_0.6_0.2/au_844876.xlsx","au_844876")</f>
        <v>au_844876</v>
      </c>
      <c r="B195">
        <v>0.5</v>
      </c>
      <c r="C195">
        <v>0.5</v>
      </c>
      <c r="D195">
        <v>0.5</v>
      </c>
      <c r="E195">
        <v>0.5</v>
      </c>
      <c r="F195">
        <v>0.5</v>
      </c>
      <c r="G195">
        <v>0.75</v>
      </c>
    </row>
    <row r="196" spans="1:7" x14ac:dyDescent="0.15">
      <c r="A196" t="str">
        <f>HYPERLINK("./new_k5/query_cmdrels_weight_analyze/0.2_0.6_0.2/au_85318.xlsx","au_85318")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0.4</v>
      </c>
    </row>
    <row r="197" spans="1:7" x14ac:dyDescent="0.15">
      <c r="A197" t="str">
        <f>HYPERLINK("./new_k5/query_cmdrels_weight_analyze/0.2_0.6_0.2/au_854332.xlsx","au_854332")</f>
        <v>au_854332</v>
      </c>
      <c r="B197">
        <v>0.33333333333333331</v>
      </c>
      <c r="C197">
        <v>0</v>
      </c>
      <c r="D197">
        <v>0.55555555555555547</v>
      </c>
      <c r="E197">
        <v>0.16666666666666671</v>
      </c>
      <c r="F197">
        <v>0.55555555555555547</v>
      </c>
      <c r="G197">
        <v>0.16666666666666671</v>
      </c>
    </row>
    <row r="198" spans="1:7" x14ac:dyDescent="0.15">
      <c r="A198" t="str">
        <f>HYPERLINK("./new_k5/query_cmdrels_weight_analyze/0.2_0.6_0.2/au_854373.xlsx","au_854373")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HYPERLINK("./new_k5/query_cmdrels_weight_analyze/0.2_0.6_0.2/au_86843.xlsx","au_86843")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HYPERLINK("./new_k5/query_cmdrels_weight_analyze/0.2_0.6_0.2/au_88108.xlsx","au_88108")</f>
        <v>au_88108</v>
      </c>
      <c r="B200">
        <v>0</v>
      </c>
      <c r="C200">
        <v>0</v>
      </c>
      <c r="D200">
        <v>0.1</v>
      </c>
      <c r="E200">
        <v>6.6666666666666666E-2</v>
      </c>
      <c r="F200">
        <v>0.1</v>
      </c>
      <c r="G200">
        <v>6.6666666666666666E-2</v>
      </c>
    </row>
    <row r="201" spans="1:7" x14ac:dyDescent="0.15">
      <c r="A201" t="str">
        <f>HYPERLINK("./new_k5/query_cmdrels_weight_analyze/0.2_0.6_0.2/au_90214.xlsx","au_90214")</f>
        <v>au_90214</v>
      </c>
      <c r="B201">
        <v>0</v>
      </c>
      <c r="C201">
        <v>0</v>
      </c>
      <c r="D201">
        <v>0.16666666666666671</v>
      </c>
      <c r="E201">
        <v>0</v>
      </c>
      <c r="F201">
        <v>0.16666666666666671</v>
      </c>
      <c r="G201">
        <v>0.2166666666666667</v>
      </c>
    </row>
    <row r="202" spans="1:7" x14ac:dyDescent="0.15">
      <c r="A202" t="str">
        <f>HYPERLINK("./new_k5/query_cmdrels_weight_analyze/0.2_0.6_0.2/au_90339.xlsx","au_90339")</f>
        <v>au_90339</v>
      </c>
      <c r="B202">
        <v>0</v>
      </c>
      <c r="C202">
        <v>0.14285714285714279</v>
      </c>
      <c r="D202">
        <v>4.7619047619047623E-2</v>
      </c>
      <c r="E202">
        <v>0.42857142857142849</v>
      </c>
      <c r="F202">
        <v>0.2047619047619047</v>
      </c>
      <c r="G202">
        <v>0.54285714285714282</v>
      </c>
    </row>
    <row r="203" spans="1:7" x14ac:dyDescent="0.15">
      <c r="A203" t="str">
        <f>HYPERLINK("./new_k5/query_cmdrels_weight_analyze/0.2_0.6_0.2/au_91286.xlsx","au_91286")</f>
        <v>au_91286</v>
      </c>
      <c r="B203">
        <v>0.5</v>
      </c>
      <c r="C203">
        <v>0</v>
      </c>
      <c r="D203">
        <v>0.5</v>
      </c>
      <c r="E203">
        <v>0.16666666666666671</v>
      </c>
      <c r="F203">
        <v>0.5</v>
      </c>
      <c r="G203">
        <v>0.16666666666666671</v>
      </c>
    </row>
    <row r="204" spans="1:7" x14ac:dyDescent="0.15">
      <c r="A204" t="str">
        <f>HYPERLINK("./new_k5/query_cmdrels_weight_analyze/0.2_0.6_0.2/au_9135.xlsx","au_9135")</f>
        <v>au_9135</v>
      </c>
      <c r="B204">
        <v>0.1</v>
      </c>
      <c r="C204">
        <v>0.1</v>
      </c>
      <c r="D204">
        <v>0.16666666666666671</v>
      </c>
      <c r="E204">
        <v>0.16666666666666671</v>
      </c>
      <c r="F204">
        <v>0.24166666666666661</v>
      </c>
      <c r="G204">
        <v>0.24166666666666661</v>
      </c>
    </row>
    <row r="205" spans="1:7" x14ac:dyDescent="0.15">
      <c r="A205" t="str">
        <f>HYPERLINK("./new_k5/query_cmdrels_weight_analyze/0.2_0.6_0.2/au_935569.xlsx","au_935569")</f>
        <v>au_935569</v>
      </c>
      <c r="B205">
        <v>0.14285714285714279</v>
      </c>
      <c r="C205">
        <v>0</v>
      </c>
      <c r="D205">
        <v>0.42857142857142849</v>
      </c>
      <c r="E205">
        <v>0.16666666666666671</v>
      </c>
      <c r="F205">
        <v>0.54285714285714282</v>
      </c>
      <c r="G205">
        <v>0.16666666666666671</v>
      </c>
    </row>
    <row r="206" spans="1:7" x14ac:dyDescent="0.15">
      <c r="A206" t="str">
        <f>HYPERLINK("./new_k5/query_cmdrels_weight_analyze/0.2_0.6_0.2/au_97936.xlsx","au_97936")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HYPERLINK("./new_k5/query_cmdrels_weight_analyze/0.2_0.6_0.2/so_10235778.xlsx","so_10235778")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HYPERLINK("./new_k5/query_cmdrels_weight_analyze/0.2_0.6_0.2/so_1045910.xlsx","so_1045910")</f>
        <v>so_1045910</v>
      </c>
      <c r="B208">
        <v>0.25</v>
      </c>
      <c r="C208">
        <v>0</v>
      </c>
      <c r="D208">
        <v>0.25</v>
      </c>
      <c r="E208">
        <v>0.125</v>
      </c>
      <c r="F208">
        <v>0.25</v>
      </c>
      <c r="G208">
        <v>0.25</v>
      </c>
    </row>
    <row r="209" spans="1:7" x14ac:dyDescent="0.15">
      <c r="A209" t="str">
        <f>HYPERLINK("./new_k5/query_cmdrels_weight_analyze/0.2_0.6_0.2/so_10557360.xlsx","so_10557360")</f>
        <v>so_10557360</v>
      </c>
      <c r="B209">
        <v>0</v>
      </c>
      <c r="C209">
        <v>0</v>
      </c>
      <c r="D209">
        <v>0</v>
      </c>
      <c r="E209">
        <v>0.1</v>
      </c>
      <c r="F209">
        <v>0</v>
      </c>
      <c r="G209">
        <v>0.1</v>
      </c>
    </row>
    <row r="210" spans="1:7" x14ac:dyDescent="0.15">
      <c r="A210" t="str">
        <f>HYPERLINK("./new_k5/query_cmdrels_weight_analyze/0.2_0.6_0.2/so_1058047.xlsx","so_1058047")</f>
        <v>so_1058047</v>
      </c>
      <c r="B210">
        <v>0.25</v>
      </c>
      <c r="C210">
        <v>0.25</v>
      </c>
      <c r="D210">
        <v>0.25</v>
      </c>
      <c r="E210">
        <v>0.41666666666666657</v>
      </c>
      <c r="F210">
        <v>0.25</v>
      </c>
      <c r="G210">
        <v>0.41666666666666657</v>
      </c>
    </row>
    <row r="211" spans="1:7" x14ac:dyDescent="0.15">
      <c r="A211" t="str">
        <f>HYPERLINK("./new_k5/query_cmdrels_weight_analyze/0.2_0.6_0.2/so_10829402.xlsx","so_10829402")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HYPERLINK("./new_k5/query_cmdrels_weight_analyze/0.2_0.6_0.2/so_1088098.xlsx","so_1088098")</f>
        <v>so_1088098</v>
      </c>
      <c r="B212">
        <v>0</v>
      </c>
      <c r="C212">
        <v>0</v>
      </c>
      <c r="D212">
        <v>0.125</v>
      </c>
      <c r="E212">
        <v>0.125</v>
      </c>
      <c r="F212">
        <v>0.125</v>
      </c>
      <c r="G212">
        <v>0.125</v>
      </c>
    </row>
    <row r="213" spans="1:7" x14ac:dyDescent="0.15">
      <c r="A213" t="str">
        <f>HYPERLINK("./new_k5/query_cmdrels_weight_analyze/0.2_0.6_0.2/so_10990949.xlsx","so_10990949")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0.7</v>
      </c>
    </row>
    <row r="214" spans="1:7" x14ac:dyDescent="0.15">
      <c r="A214" t="str">
        <f>HYPERLINK("./new_k5/query_cmdrels_weight_analyze/0.2_0.6_0.2/so_11211705.xlsx","so_11211705")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HYPERLINK("./new_k5/query_cmdrels_weight_analyze/0.2_0.6_0.2/so_112932.xlsx","so_112932")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HYPERLINK("./new_k5/query_cmdrels_weight_analyze/0.2_0.6_0.2/so_11392189.xlsx","so_11392189")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0.18333333333333329</v>
      </c>
    </row>
    <row r="217" spans="1:7" x14ac:dyDescent="0.15">
      <c r="A217" t="str">
        <f>HYPERLINK("./new_k5/query_cmdrels_weight_analyze/0.2_0.6_0.2/so_1183183.xlsx","so_1183183")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0.25</v>
      </c>
    </row>
    <row r="218" spans="1:7" x14ac:dyDescent="0.15">
      <c r="A218" t="str">
        <f>HYPERLINK("./new_k5/query_cmdrels_weight_analyze/0.2_0.6_0.2/so_1194882.xlsx","so_1194882")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HYPERLINK("./new_k5/query_cmdrels_weight_analyze/0.2_0.6_0.2/so_12120935.xlsx","so_12120935")</f>
        <v>so_12120935</v>
      </c>
      <c r="B219">
        <v>0.25</v>
      </c>
      <c r="C219">
        <v>0.25</v>
      </c>
      <c r="D219">
        <v>0.41666666666666657</v>
      </c>
      <c r="E219">
        <v>0.5</v>
      </c>
      <c r="F219">
        <v>0.41666666666666657</v>
      </c>
      <c r="G219">
        <v>0.6875</v>
      </c>
    </row>
    <row r="220" spans="1:7" x14ac:dyDescent="0.15">
      <c r="A220" t="str">
        <f>HYPERLINK("./new_k5/query_cmdrels_weight_analyze/0.2_0.6_0.2/so_12313384.xlsx","so_12313384")</f>
        <v>so_12313384</v>
      </c>
      <c r="B220">
        <v>0</v>
      </c>
      <c r="C220">
        <v>0.33333333333333331</v>
      </c>
      <c r="D220">
        <v>0.16666666666666671</v>
      </c>
      <c r="E220">
        <v>0.66666666666666663</v>
      </c>
      <c r="F220">
        <v>0.16666666666666671</v>
      </c>
      <c r="G220">
        <v>0.66666666666666663</v>
      </c>
    </row>
    <row r="221" spans="1:7" x14ac:dyDescent="0.15">
      <c r="A221" t="str">
        <f>HYPERLINK("./new_k5/query_cmdrels_weight_analyze/0.2_0.6_0.2/so_12392598.xlsx","so_12392598")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HYPERLINK("./new_k5/query_cmdrels_weight_analyze/0.2_0.6_0.2/so_1241801.xlsx","so_1241801")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HYPERLINK("./new_k5/query_cmdrels_weight_analyze/0.2_0.6_0.2/so_12522269.xlsx","so_12522269")</f>
        <v>so_12522269</v>
      </c>
      <c r="B223">
        <v>0.2</v>
      </c>
      <c r="C223">
        <v>0.2</v>
      </c>
      <c r="D223">
        <v>0.2</v>
      </c>
      <c r="E223">
        <v>0.2</v>
      </c>
      <c r="F223">
        <v>0.28000000000000003</v>
      </c>
      <c r="G223">
        <v>0.2</v>
      </c>
    </row>
    <row r="224" spans="1:7" x14ac:dyDescent="0.15">
      <c r="A224" t="str">
        <f>HYPERLINK("./new_k5/query_cmdrels_weight_analyze/0.2_0.6_0.2/so_1293907.xlsx","so_1293907")</f>
        <v>so_1293907</v>
      </c>
      <c r="B224">
        <v>0</v>
      </c>
      <c r="C224">
        <v>0.33333333333333331</v>
      </c>
      <c r="D224">
        <v>0</v>
      </c>
      <c r="E224">
        <v>0.66666666666666663</v>
      </c>
      <c r="F224">
        <v>8.3333333333333329E-2</v>
      </c>
      <c r="G224">
        <v>0.8666666666666667</v>
      </c>
    </row>
    <row r="225" spans="1:7" x14ac:dyDescent="0.15">
      <c r="A225" t="str">
        <f>HYPERLINK("./new_k5/query_cmdrels_weight_analyze/0.2_0.6_0.2/so_13428910.xlsx","so_13428910")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HYPERLINK("./new_k5/query_cmdrels_weight_analyze/0.2_0.6_0.2/so_135688.xlsx","so_135688")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HYPERLINK("./new_k5/query_cmdrels_weight_analyze/0.2_0.6_0.2/so_13778273.xlsx","so_13778273")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HYPERLINK("./new_k5/query_cmdrels_weight_analyze/0.2_0.6_0.2/so_1405611.xlsx","so_1405611")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0.16666666666666671</v>
      </c>
      <c r="F228">
        <v>0.33333333333333331</v>
      </c>
      <c r="G228">
        <v>0.16666666666666671</v>
      </c>
    </row>
    <row r="229" spans="1:7" x14ac:dyDescent="0.15">
      <c r="A229" t="str">
        <f>HYPERLINK("./new_k5/query_cmdrels_weight_analyze/0.2_0.6_0.2/so_14300794.xlsx","so_14300794")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HYPERLINK("./new_k5/query_cmdrels_weight_analyze/0.2_0.6_0.2/so_143791.xlsx","so_143791")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HYPERLINK("./new_k5/query_cmdrels_weight_analyze/0.2_0.6_0.2/so_14750650.xlsx","so_14750650")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6.25E-2</v>
      </c>
    </row>
    <row r="232" spans="1:7" x14ac:dyDescent="0.15">
      <c r="A232" t="str">
        <f>HYPERLINK("./new_k5/query_cmdrels_weight_analyze/0.2_0.6_0.2/so_14978411.xlsx","so_14978411")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HYPERLINK("./new_k5/query_cmdrels_weight_analyze/0.2_0.6_0.2/so_15236308.xlsx","so_15236308")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HYPERLINK("./new_k5/query_cmdrels_weight_analyze/0.2_0.6_0.2/so_15286947.xlsx","so_15286947")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HYPERLINK("./new_k5/query_cmdrels_weight_analyze/0.2_0.6_0.2/so_15402770.xlsx","so_15402770")</f>
        <v>so_15402770</v>
      </c>
      <c r="B235">
        <v>0</v>
      </c>
      <c r="C235">
        <v>0.16666666666666671</v>
      </c>
      <c r="D235">
        <v>0.19444444444444439</v>
      </c>
      <c r="E235">
        <v>0.5</v>
      </c>
      <c r="F235">
        <v>0.19444444444444439</v>
      </c>
      <c r="G235">
        <v>0.66666666666666663</v>
      </c>
    </row>
    <row r="236" spans="1:7" x14ac:dyDescent="0.15">
      <c r="A236" t="str">
        <f>HYPERLINK("./new_k5/query_cmdrels_weight_analyze/0.2_0.6_0.2/so_1570262.xlsx","so_1570262")</f>
        <v>so_1570262</v>
      </c>
      <c r="B236">
        <v>0</v>
      </c>
      <c r="C236">
        <v>0</v>
      </c>
      <c r="D236">
        <v>0</v>
      </c>
      <c r="E236">
        <v>6.6666666666666666E-2</v>
      </c>
      <c r="F236">
        <v>0</v>
      </c>
      <c r="G236">
        <v>0.16666666666666671</v>
      </c>
    </row>
    <row r="237" spans="1:7" x14ac:dyDescent="0.15">
      <c r="A237" t="str">
        <f>HYPERLINK("./new_k5/query_cmdrels_weight_analyze/0.2_0.6_0.2/so_1583219.xlsx","so_1583219")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HYPERLINK("./new_k5/query_cmdrels_weight_analyze/0.2_0.6_0.2/so_15872543.xlsx","so_15872543")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HYPERLINK("./new_k5/query_cmdrels_weight_analyze/0.2_0.6_0.2/so_16038087.xlsx","so_16038087")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0.14285714285714279</v>
      </c>
      <c r="F239">
        <v>0.2857142857142857</v>
      </c>
      <c r="G239">
        <v>0.14285714285714279</v>
      </c>
    </row>
    <row r="240" spans="1:7" x14ac:dyDescent="0.15">
      <c r="A240" t="str">
        <f>HYPERLINK("./new_k5/query_cmdrels_weight_analyze/0.2_0.6_0.2/so_16212656.xlsx","so_16212656")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HYPERLINK("./new_k5/query_cmdrels_weight_analyze/0.2_0.6_0.2/so_16575419.xlsx","so_16575419")</f>
        <v>so_16575419</v>
      </c>
      <c r="B241">
        <v>0.25</v>
      </c>
      <c r="C241">
        <v>0.25</v>
      </c>
      <c r="D241">
        <v>0.25</v>
      </c>
      <c r="E241">
        <v>0.75</v>
      </c>
      <c r="F241">
        <v>0.25</v>
      </c>
      <c r="G241">
        <v>0.75</v>
      </c>
    </row>
    <row r="242" spans="1:7" x14ac:dyDescent="0.15">
      <c r="A242" t="str">
        <f>HYPERLINK("./new_k5/query_cmdrels_weight_analyze/0.2_0.6_0.2/so_17582768.xlsx","so_17582768")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8.3333333333333329E-2</v>
      </c>
    </row>
    <row r="243" spans="1:7" x14ac:dyDescent="0.15">
      <c r="A243" t="str">
        <f>HYPERLINK("./new_k5/query_cmdrels_weight_analyze/0.2_0.6_0.2/so_17607612.xlsx","so_17607612")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HYPERLINK("./new_k5/query_cmdrels_weight_analyze/0.2_0.6_0.2/so_17829785.xlsx","so_17829785")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HYPERLINK("./new_k5/query_cmdrels_weight_analyze/0.2_0.6_0.2/so_1839841.xlsx","so_1839841")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HYPERLINK("./new_k5/query_cmdrels_weight_analyze/0.2_0.6_0.2/so_18468716.xlsx","so_18468716")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0.46666666666666662</v>
      </c>
    </row>
    <row r="247" spans="1:7" x14ac:dyDescent="0.15">
      <c r="A247" t="str">
        <f>HYPERLINK("./new_k5/query_cmdrels_weight_analyze/0.2_0.6_0.2/so_19196105.xlsx","so_19196105")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HYPERLINK("./new_k5/query_cmdrels_weight_analyze/0.2_0.6_0.2/so_19482123.xlsx","so_19482123")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HYPERLINK("./new_k5/query_cmdrels_weight_analyze/0.2_0.6_0.2/so_1975849.xlsx","so_1975849")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HYPERLINK("./new_k5/query_cmdrels_weight_analyze/0.2_0.6_0.2/so_212528.xlsx","so_212528")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0.45833333333333331</v>
      </c>
    </row>
    <row r="251" spans="1:7" x14ac:dyDescent="0.15">
      <c r="A251" t="str">
        <f>HYPERLINK("./new_k5/query_cmdrels_weight_analyze/0.2_0.6_0.2/so_21620406.xlsx","so_21620406")</f>
        <v>so_21620406</v>
      </c>
      <c r="B251">
        <v>0</v>
      </c>
      <c r="C251">
        <v>0</v>
      </c>
      <c r="D251">
        <v>0.1111111111111111</v>
      </c>
      <c r="E251">
        <v>0.1111111111111111</v>
      </c>
      <c r="F251">
        <v>0.1111111111111111</v>
      </c>
      <c r="G251">
        <v>0.1111111111111111</v>
      </c>
    </row>
    <row r="252" spans="1:7" x14ac:dyDescent="0.15">
      <c r="A252" t="str">
        <f>HYPERLINK("./new_k5/query_cmdrels_weight_analyze/0.2_0.6_0.2/so_23509348.xlsx","so_23509348")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HYPERLINK("./new_k5/query_cmdrels_weight_analyze/0.2_0.6_0.2/so_24058544.xlsx","so_24058544")</f>
        <v>so_24058544</v>
      </c>
      <c r="B253">
        <v>0.2</v>
      </c>
      <c r="C253">
        <v>0.2</v>
      </c>
      <c r="D253">
        <v>0.2</v>
      </c>
      <c r="E253">
        <v>0.4</v>
      </c>
      <c r="F253">
        <v>0.2</v>
      </c>
      <c r="G253">
        <v>0.4</v>
      </c>
    </row>
    <row r="254" spans="1:7" x14ac:dyDescent="0.15">
      <c r="A254" t="str">
        <f>HYPERLINK("./new_k5/query_cmdrels_weight_analyze/0.2_0.6_0.2/so_24283097.xlsx","so_24283097")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HYPERLINK("./new_k5/query_cmdrels_weight_analyze/0.2_0.6_0.2/so_26256279.xlsx","so_26256279")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HYPERLINK("./new_k5/query_cmdrels_weight_analyze/0.2_0.6_0.2/so_26331651.xlsx","so_26331651")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HYPERLINK("./new_k5/query_cmdrels_weight_analyze/0.2_0.6_0.2/so_26988262.xlsx","so_26988262")</f>
        <v>so_26988262</v>
      </c>
      <c r="B257">
        <v>0</v>
      </c>
      <c r="C257">
        <v>0</v>
      </c>
      <c r="D257">
        <v>0.16666666666666671</v>
      </c>
      <c r="E257">
        <v>0.16666666666666671</v>
      </c>
      <c r="F257">
        <v>0.33333333333333331</v>
      </c>
      <c r="G257">
        <v>0.16666666666666671</v>
      </c>
    </row>
    <row r="258" spans="1:7" x14ac:dyDescent="0.15">
      <c r="A258" t="str">
        <f>HYPERLINK("./new_k5/query_cmdrels_weight_analyze/0.2_0.6_0.2/so_27238411.xlsx","so_27238411")</f>
        <v>so_27238411</v>
      </c>
      <c r="B258">
        <v>0.2</v>
      </c>
      <c r="C258">
        <v>0.2</v>
      </c>
      <c r="D258">
        <v>0.6</v>
      </c>
      <c r="E258">
        <v>0.33333333333333331</v>
      </c>
      <c r="F258">
        <v>0.6</v>
      </c>
      <c r="G258">
        <v>0.48333333333333328</v>
      </c>
    </row>
    <row r="259" spans="1:7" x14ac:dyDescent="0.15">
      <c r="A259" t="str">
        <f>HYPERLINK("./new_k5/query_cmdrels_weight_analyze/0.2_0.6_0.2/so_27943059.xlsx","so_27943059")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0.33333333333333331</v>
      </c>
      <c r="F259">
        <v>0.16666666666666671</v>
      </c>
      <c r="G259">
        <v>0.5</v>
      </c>
    </row>
    <row r="260" spans="1:7" x14ac:dyDescent="0.15">
      <c r="A260" t="str">
        <f>HYPERLINK("./new_k5/query_cmdrels_weight_analyze/0.2_0.6_0.2/so_28869004.xlsx","so_28869004")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HYPERLINK("./new_k5/query_cmdrels_weight_analyze/0.2_0.6_0.2/so_2973624.xlsx","so_2973624")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0.66666666666666663</v>
      </c>
      <c r="F261">
        <v>0.66666666666666663</v>
      </c>
      <c r="G261">
        <v>0.66666666666666663</v>
      </c>
    </row>
    <row r="262" spans="1:7" x14ac:dyDescent="0.15">
      <c r="A262" t="str">
        <f>HYPERLINK("./new_k5/query_cmdrels_weight_analyze/0.2_0.6_0.2/so_30177455.xlsx","so_30177455")</f>
        <v>so_30177455</v>
      </c>
      <c r="B262">
        <v>0</v>
      </c>
      <c r="C262">
        <v>0</v>
      </c>
      <c r="D262">
        <v>0.16666666666666671</v>
      </c>
      <c r="E262">
        <v>0.1111111111111111</v>
      </c>
      <c r="F262">
        <v>0.16666666666666671</v>
      </c>
      <c r="G262">
        <v>0.1111111111111111</v>
      </c>
    </row>
    <row r="263" spans="1:7" x14ac:dyDescent="0.15">
      <c r="A263" t="str">
        <f>HYPERLINK("./new_k5/query_cmdrels_weight_analyze/0.2_0.6_0.2/so_30251889.xlsx","so_30251889")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0.6791666666666667</v>
      </c>
    </row>
    <row r="264" spans="1:7" x14ac:dyDescent="0.15">
      <c r="A264" t="str">
        <f>HYPERLINK("./new_k5/query_cmdrels_weight_analyze/0.2_0.6_0.2/so_305035.xlsx","so_305035")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HYPERLINK("./new_k5/query_cmdrels_weight_analyze/0.2_0.6_0.2/so_36249744.xlsx","so_36249744")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HYPERLINK("./new_k5/query_cmdrels_weight_analyze/0.2_0.6_0.2/so_3643848.xlsx","so_3643848")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HYPERLINK("./new_k5/query_cmdrels_weight_analyze/0.2_0.6_0.2/so_3667329.xlsx","so_3667329")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HYPERLINK("./new_k5/query_cmdrels_weight_analyze/0.2_0.6_0.2/so_369758.xlsx","so_369758")</f>
        <v>so_369758</v>
      </c>
      <c r="B268">
        <v>0.2</v>
      </c>
      <c r="C268">
        <v>0.2</v>
      </c>
      <c r="D268">
        <v>0.4</v>
      </c>
      <c r="E268">
        <v>0.33333333333333331</v>
      </c>
      <c r="F268">
        <v>0.4</v>
      </c>
      <c r="G268">
        <v>0.48333333333333328</v>
      </c>
    </row>
    <row r="269" spans="1:7" x14ac:dyDescent="0.15">
      <c r="A269" t="str">
        <f>HYPERLINK("./new_k5/query_cmdrels_weight_analyze/0.2_0.6_0.2/so_3756323.xlsx","so_3756323")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</v>
      </c>
    </row>
    <row r="270" spans="1:7" x14ac:dyDescent="0.15">
      <c r="A270" t="str">
        <f>HYPERLINK("./new_k5/query_cmdrels_weight_analyze/0.2_0.6_0.2/so_3767267.xlsx","so_3767267")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0.2</v>
      </c>
    </row>
    <row r="271" spans="1:7" x14ac:dyDescent="0.15">
      <c r="A271" t="str">
        <f>HYPERLINK("./new_k5/query_cmdrels_weight_analyze/0.2_0.6_0.2/so_3833578.xlsx","so_3833578")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HYPERLINK("./new_k5/query_cmdrels_weight_analyze/0.2_0.6_0.2/so_3891076.xlsx","so_3891076")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0.375</v>
      </c>
    </row>
    <row r="273" spans="1:7" x14ac:dyDescent="0.15">
      <c r="A273" t="str">
        <f>HYPERLINK("./new_k5/query_cmdrels_weight_analyze/0.2_0.6_0.2/so_3963085.xlsx","so_3963085")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HYPERLINK("./new_k5/query_cmdrels_weight_analyze/0.2_0.6_0.2/so_4325216.xlsx","so_4325216")</f>
        <v>so_4325216</v>
      </c>
      <c r="B274">
        <v>0.5</v>
      </c>
      <c r="C274">
        <v>0.5</v>
      </c>
      <c r="D274">
        <v>0.5</v>
      </c>
      <c r="E274">
        <v>1</v>
      </c>
      <c r="F274">
        <v>0.5</v>
      </c>
      <c r="G274">
        <v>1</v>
      </c>
    </row>
    <row r="275" spans="1:7" x14ac:dyDescent="0.15">
      <c r="A275" t="str">
        <f>HYPERLINK("./new_k5/query_cmdrels_weight_analyze/0.2_0.6_0.2/so_448005.xlsx","so_448005")</f>
        <v>so_448005</v>
      </c>
      <c r="B275">
        <v>1</v>
      </c>
      <c r="C275">
        <v>0</v>
      </c>
      <c r="D275">
        <v>1</v>
      </c>
      <c r="E275">
        <v>0.5</v>
      </c>
      <c r="F275">
        <v>1</v>
      </c>
      <c r="G275">
        <v>0.5</v>
      </c>
    </row>
    <row r="276" spans="1:7" x14ac:dyDescent="0.15">
      <c r="A276" t="str">
        <f>HYPERLINK("./new_k5/query_cmdrels_weight_analyze/0.2_0.6_0.2/so_4921879.xlsx","so_4921879")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HYPERLINK("./new_k5/query_cmdrels_weight_analyze/0.2_0.6_0.2/so_4922943.xlsx","so_4922943")</f>
        <v>so_4922943</v>
      </c>
      <c r="B277">
        <v>0.2</v>
      </c>
      <c r="C277">
        <v>0.2</v>
      </c>
      <c r="D277">
        <v>0.33333333333333331</v>
      </c>
      <c r="E277">
        <v>0.33333333333333331</v>
      </c>
      <c r="F277">
        <v>0.33333333333333331</v>
      </c>
      <c r="G277">
        <v>0.33333333333333331</v>
      </c>
    </row>
    <row r="278" spans="1:7" x14ac:dyDescent="0.15">
      <c r="A278" t="str">
        <f>HYPERLINK("./new_k5/query_cmdrels_weight_analyze/0.2_0.6_0.2/so_5119946.xlsx","so_5119946")</f>
        <v>so_5119946</v>
      </c>
      <c r="B278">
        <v>0.5</v>
      </c>
      <c r="C278">
        <v>0</v>
      </c>
      <c r="D278">
        <v>0.5</v>
      </c>
      <c r="E278">
        <v>0</v>
      </c>
      <c r="F278">
        <v>0.5</v>
      </c>
      <c r="G278">
        <v>0</v>
      </c>
    </row>
    <row r="279" spans="1:7" x14ac:dyDescent="0.15">
      <c r="A279" t="str">
        <f>HYPERLINK("./new_k5/query_cmdrels_weight_analyze/0.2_0.6_0.2/so_5164985.xlsx","so_5164985")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HYPERLINK("./new_k5/query_cmdrels_weight_analyze/0.2_0.6_0.2/so_5306153.xlsx","so_5306153")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HYPERLINK("./new_k5/query_cmdrels_weight_analyze/0.2_0.6_0.2/so_5566310.xlsx","so_5566310")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HYPERLINK("./new_k5/query_cmdrels_weight_analyze/0.2_0.6_0.2/so_5927369.xlsx","so_5927369")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HYPERLINK("./new_k5/query_cmdrels_weight_analyze/0.2_0.6_0.2/so_5947742.xlsx","so_5947742")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HYPERLINK("./new_k5/query_cmdrels_weight_analyze/0.2_0.6_0.2/so_614795.xlsx","so_614795")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HYPERLINK("./new_k5/query_cmdrels_weight_analyze/0.2_0.6_0.2/so_6207573.xlsx","so_6207573")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0.2857142857142857</v>
      </c>
      <c r="F285">
        <v>0.37142857142857139</v>
      </c>
      <c r="G285">
        <v>0.39285714285714279</v>
      </c>
    </row>
    <row r="286" spans="1:7" x14ac:dyDescent="0.15">
      <c r="A286" t="str">
        <f>HYPERLINK("./new_k5/query_cmdrels_weight_analyze/0.2_0.6_0.2/so_6283167.xlsx","so_6283167")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HYPERLINK("./new_k5/query_cmdrels_weight_analyze/0.2_0.6_0.2/so_6329505.xlsx","so_6329505")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HYPERLINK("./new_k5/query_cmdrels_weight_analyze/0.2_0.6_0.2/so_6423532.xlsx","so_6423532")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HYPERLINK("./new_k5/query_cmdrels_weight_analyze/0.2_0.6_0.2/so_669438.xlsx","so_669438")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0.33333333333333331</v>
      </c>
    </row>
    <row r="290" spans="1:7" x14ac:dyDescent="0.15">
      <c r="A290" t="str">
        <f>HYPERLINK("./new_k5/query_cmdrels_weight_analyze/0.2_0.6_0.2/so_7052875.xlsx","so_7052875")</f>
        <v>so_7052875</v>
      </c>
      <c r="B290">
        <v>0.2</v>
      </c>
      <c r="C290">
        <v>0</v>
      </c>
      <c r="D290">
        <v>0.2</v>
      </c>
      <c r="E290">
        <v>0.1</v>
      </c>
      <c r="F290">
        <v>0.2</v>
      </c>
      <c r="G290">
        <v>0.18</v>
      </c>
    </row>
    <row r="291" spans="1:7" x14ac:dyDescent="0.15">
      <c r="A291" t="str">
        <f>HYPERLINK("./new_k5/query_cmdrels_weight_analyze/0.2_0.6_0.2/so_7221757.xlsx","so_7221757")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HYPERLINK("./new_k5/query_cmdrels_weight_analyze/0.2_0.6_0.2/so_750604.xlsx","so_750604")</f>
        <v>so_750604</v>
      </c>
      <c r="B292">
        <v>0</v>
      </c>
      <c r="C292">
        <v>0</v>
      </c>
      <c r="D292">
        <v>0.1111111111111111</v>
      </c>
      <c r="E292">
        <v>0.16666666666666671</v>
      </c>
      <c r="F292">
        <v>0.1111111111111111</v>
      </c>
      <c r="G292">
        <v>0.33333333333333331</v>
      </c>
    </row>
    <row r="293" spans="1:7" x14ac:dyDescent="0.15">
      <c r="A293" t="str">
        <f>HYPERLINK("./new_k5/query_cmdrels_weight_analyze/0.2_0.6_0.2/so_7575267.xlsx","so_7575267")</f>
        <v>so_7575267</v>
      </c>
      <c r="B293">
        <v>0</v>
      </c>
      <c r="C293">
        <v>0.25</v>
      </c>
      <c r="D293">
        <v>0</v>
      </c>
      <c r="E293">
        <v>0.5</v>
      </c>
      <c r="F293">
        <v>0</v>
      </c>
      <c r="G293">
        <v>0.6875</v>
      </c>
    </row>
    <row r="294" spans="1:7" x14ac:dyDescent="0.15">
      <c r="A294" t="str">
        <f>HYPERLINK("./new_k5/query_cmdrels_weight_analyze/0.2_0.6_0.2/so_7698488.xlsx","so_7698488")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0.16250000000000001</v>
      </c>
    </row>
    <row r="295" spans="1:7" x14ac:dyDescent="0.15">
      <c r="A295" t="str">
        <f>HYPERLINK("./new_k5/query_cmdrels_weight_analyze/0.2_0.6_0.2/so_801095.xlsx","so_801095")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0.55555555555555547</v>
      </c>
      <c r="F295">
        <v>0.33333333333333331</v>
      </c>
      <c r="G295">
        <v>0.55555555555555547</v>
      </c>
    </row>
    <row r="296" spans="1:7" x14ac:dyDescent="0.15">
      <c r="A296" t="str">
        <f>HYPERLINK("./new_k5/query_cmdrels_weight_analyze/0.2_0.6_0.2/so_8249705.xlsx","so_8249705")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HYPERLINK("./new_k5/query_cmdrels_weight_analyze/0.2_0.6_0.2/so_8423541.xlsx","so_8423541")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HYPERLINK("./new_k5/query_cmdrels_weight_analyze/0.2_0.6_0.2/so_8654051.xlsx","so_8654051")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HYPERLINK("./new_k5/query_cmdrels_weight_analyze/0.2_0.6_0.2/so_890262.xlsx","so_890262")</f>
        <v>so_890262</v>
      </c>
      <c r="B299">
        <v>0</v>
      </c>
      <c r="C299">
        <v>0</v>
      </c>
      <c r="D299">
        <v>0</v>
      </c>
      <c r="E299">
        <v>0.1111111111111111</v>
      </c>
      <c r="F299">
        <v>0</v>
      </c>
      <c r="G299">
        <v>0.27777777777777768</v>
      </c>
    </row>
    <row r="300" spans="1:7" x14ac:dyDescent="0.15">
      <c r="A300" t="str">
        <f>HYPERLINK("./new_k5/query_cmdrels_weight_analyze/0.2_0.6_0.2/so_893585.xlsx","so_893585")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HYPERLINK("./new_k5/query_cmdrels_weight_analyze/0.2_0.6_0.2/so_9223460.xlsx","so_9223460")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HYPERLINK("./new_k5/query_cmdrels_weight_analyze/0.2_0.6_0.2/so_9245638.xlsx","so_9245638")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HYPERLINK("./new_k5/query_cmdrels_weight_analyze/0.2_0.6_0.2/so_9304953.xlsx","so_9304953")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0.6</v>
      </c>
    </row>
    <row r="304" spans="1:7" x14ac:dyDescent="0.15">
      <c r="A304" t="str">
        <f>HYPERLINK("./new_k5/query_cmdrels_weight_analyze/0.2_0.6_0.2/so_9361816.xlsx","so_9361816")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HYPERLINK("./new_k5/query_cmdrels_weight_analyze/0.2_0.6_0.2/su_116617.xlsx","su_116617")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HYPERLINK("./new_k5/query_cmdrels_weight_analyze/0.2_0.6_0.2/su_120045.xlsx","su_120045")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HYPERLINK("./new_k5/query_cmdrels_weight_analyze/0.2_0.6_0.2/su_127863.xlsx","su_127863")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HYPERLINK("./new_k5/query_cmdrels_weight_analyze/0.2_0.6_0.2/su_135498.xlsx","su_135498")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HYPERLINK("./new_k5/query_cmdrels_weight_analyze/0.2_0.6_0.2/su_147027.xlsx","su_147027")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HYPERLINK("./new_k5/query_cmdrels_weight_analyze/0.2_0.6_0.2/su_151911.xlsx","su_151911")</f>
        <v>su_151911</v>
      </c>
      <c r="B310">
        <v>0</v>
      </c>
      <c r="C310">
        <v>0</v>
      </c>
      <c r="D310">
        <v>0</v>
      </c>
      <c r="E310">
        <v>8.3333333333333329E-2</v>
      </c>
      <c r="F310">
        <v>0</v>
      </c>
      <c r="G310">
        <v>8.3333333333333329E-2</v>
      </c>
    </row>
    <row r="311" spans="1:7" x14ac:dyDescent="0.15">
      <c r="A311" t="str">
        <f>HYPERLINK("./new_k5/query_cmdrels_weight_analyze/0.2_0.6_0.2/su_153415.xlsx","su_153415")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HYPERLINK("./new_k5/query_cmdrels_weight_analyze/0.2_0.6_0.2/su_156189.xlsx","su_156189")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0.27777777777777768</v>
      </c>
    </row>
    <row r="313" spans="1:7" x14ac:dyDescent="0.15">
      <c r="A313" t="str">
        <f>HYPERLINK("./new_k5/query_cmdrels_weight_analyze/0.2_0.6_0.2/su_161531.xlsx","su_161531")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HYPERLINK("./new_k5/query_cmdrels_weight_analyze/0.2_0.6_0.2/su_204209.xlsx","su_204209")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HYPERLINK("./new_k5/query_cmdrels_weight_analyze/0.2_0.6_0.2/su_214390.xlsx","su_214390")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HYPERLINK("./new_k5/query_cmdrels_weight_analyze/0.2_0.6_0.2/su_215483.xlsx","su_215483")</f>
        <v>su_215483</v>
      </c>
      <c r="B316">
        <v>0.5</v>
      </c>
      <c r="C316">
        <v>0.5</v>
      </c>
      <c r="D316">
        <v>1</v>
      </c>
      <c r="E316">
        <v>0.5</v>
      </c>
      <c r="F316">
        <v>1</v>
      </c>
      <c r="G316">
        <v>0.5</v>
      </c>
    </row>
    <row r="317" spans="1:7" x14ac:dyDescent="0.15">
      <c r="A317" t="str">
        <f>HYPERLINK("./new_k5/query_cmdrels_weight_analyze/0.2_0.6_0.2/su_215504.xlsx","su_215504")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0.44166666666666671</v>
      </c>
    </row>
    <row r="318" spans="1:7" x14ac:dyDescent="0.15">
      <c r="A318" t="str">
        <f>HYPERLINK("./new_k5/query_cmdrels_weight_analyze/0.2_0.6_0.2/su_227385.xlsx","su_227385")</f>
        <v>su_227385</v>
      </c>
      <c r="B318">
        <v>0</v>
      </c>
      <c r="C318">
        <v>0</v>
      </c>
      <c r="D318">
        <v>0</v>
      </c>
      <c r="E318">
        <v>0.125</v>
      </c>
      <c r="F318">
        <v>0</v>
      </c>
      <c r="G318">
        <v>0.125</v>
      </c>
    </row>
    <row r="319" spans="1:7" x14ac:dyDescent="0.15">
      <c r="A319" t="str">
        <f>HYPERLINK("./new_k5/query_cmdrels_weight_analyze/0.2_0.6_0.2/su_273254.xlsx","su_273254")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HYPERLINK("./new_k5/query_cmdrels_weight_analyze/0.2_0.6_0.2/su_294161.xlsx","su_294161")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HYPERLINK("./new_k5/query_cmdrels_weight_analyze/0.2_0.6_0.2/su_302396.xlsx","su_302396")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HYPERLINK("./new_k5/query_cmdrels_weight_analyze/0.2_0.6_0.2/su_303981.xlsx","su_303981")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HYPERLINK("./new_k5/query_cmdrels_weight_analyze/0.2_0.6_0.2/su_305128.xlsx","su_305128")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HYPERLINK("./new_k5/query_cmdrels_weight_analyze/0.2_0.6_0.2/su_31512.xlsx","su_31512")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HYPERLINK("./new_k5/query_cmdrels_weight_analyze/0.2_0.6_0.2/su_380520.xlsx","su_380520")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</v>
      </c>
    </row>
    <row r="326" spans="1:7" x14ac:dyDescent="0.15">
      <c r="A326" t="str">
        <f>HYPERLINK("./new_k5/query_cmdrels_weight_analyze/0.2_0.6_0.2/su_38981.xlsx","su_38981")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HYPERLINK("./new_k5/query_cmdrels_weight_analyze/0.2_0.6_0.2/su_437330.xlsx","su_437330")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HYPERLINK("./new_k5/query_cmdrels_weight_analyze/0.2_0.6_0.2/su_441379.xlsx","su_441379")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HYPERLINK("./new_k5/query_cmdrels_weight_analyze/0.2_0.6_0.2/su_462788.xlsx","su_462788")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0.33333333333333331</v>
      </c>
      <c r="F329">
        <v>0.30555555555555558</v>
      </c>
      <c r="G329">
        <v>0.42222222222222222</v>
      </c>
    </row>
    <row r="330" spans="1:7" x14ac:dyDescent="0.15">
      <c r="A330" t="str">
        <f>HYPERLINK("./new_k5/query_cmdrels_weight_analyze/0.2_0.6_0.2/su_626606.xlsx","su_626606")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0.33333333333333331</v>
      </c>
      <c r="F330">
        <v>0.83333333333333337</v>
      </c>
      <c r="G330">
        <v>0.45833333333333331</v>
      </c>
    </row>
    <row r="331" spans="1:7" x14ac:dyDescent="0.15">
      <c r="A331" t="str">
        <f>HYPERLINK("./new_k5/query_cmdrels_weight_analyze/0.2_0.6_0.2/su_634469.xlsx","su_634469")</f>
        <v>su_634469</v>
      </c>
      <c r="B331">
        <v>0</v>
      </c>
      <c r="C331">
        <v>0.16666666666666671</v>
      </c>
      <c r="D331">
        <v>0</v>
      </c>
      <c r="E331">
        <v>0.16666666666666671</v>
      </c>
      <c r="F331">
        <v>0</v>
      </c>
      <c r="G331">
        <v>0.16666666666666671</v>
      </c>
    </row>
    <row r="332" spans="1:7" x14ac:dyDescent="0.15">
      <c r="A332" t="str">
        <f>HYPERLINK("./new_k5/query_cmdrels_weight_analyze/0.2_0.6_0.2/su_638616.xlsx","su_638616")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HYPERLINK("./new_k5/query_cmdrels_weight_analyze/0.2_0.6_0.2/su_678113.xlsx","su_678113")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HYPERLINK("./new_k5/query_cmdrels_weight_analyze/0.2_0.6_0.2/su_686394.xlsx","su_686394")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HYPERLINK("./new_k5/query_cmdrels_weight_analyze/0.2_0.6_0.2/su_716795.xlsx","su_716795")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0.125</v>
      </c>
    </row>
    <row r="336" spans="1:7" x14ac:dyDescent="0.15">
      <c r="A336" t="str">
        <f>HYPERLINK("./new_k5/query_cmdrels_weight_analyze/0.2_0.6_0.2/su_758463.xlsx","su_758463")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HYPERLINK("./new_k5/query_cmdrels_weight_analyze/0.2_0.6_0.2/su_766437.xlsx","su_766437")</f>
        <v>su_766437</v>
      </c>
      <c r="B337">
        <v>0</v>
      </c>
      <c r="C337">
        <v>0</v>
      </c>
      <c r="D337">
        <v>0</v>
      </c>
      <c r="E337">
        <v>6.6666666666666666E-2</v>
      </c>
      <c r="F337">
        <v>0.05</v>
      </c>
      <c r="G337">
        <v>0.28666666666666663</v>
      </c>
    </row>
    <row r="338" spans="1:7" x14ac:dyDescent="0.15">
      <c r="A338" t="str">
        <f>HYPERLINK("./new_k5/query_cmdrels_weight_analyze/0.2_0.6_0.2/su_904001.xlsx","su_904001")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HYPERLINK("./new_k5/query_cmdrels_weight_analyze/0.2_0.6_0.2/ul_100959.xlsx","ul_100959")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HYPERLINK("./new_k5/query_cmdrels_weight_analyze/0.2_0.6_0.2/ul_101073.xlsx","ul_101073")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HYPERLINK("./new_k5/query_cmdrels_weight_analyze/0.2_0.6_0.2/ul_101237.xlsx","ul_101237")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HYPERLINK("./new_k5/query_cmdrels_weight_analyze/0.2_0.6_0.2/ul_102752.xlsx","ul_102752")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HYPERLINK("./new_k5/query_cmdrels_weight_analyze/0.2_0.6_0.2/ul_108174.xlsx","ul_108174")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HYPERLINK("./new_k5/query_cmdrels_weight_analyze/0.2_0.6_0.2/ul_109536.xlsx","ul_109536")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HYPERLINK("./new_k5/query_cmdrels_weight_analyze/0.2_0.6_0.2/ul_112050.xlsx","ul_112050")</f>
        <v>ul_112050</v>
      </c>
      <c r="B345">
        <v>0</v>
      </c>
      <c r="C345">
        <v>0.25</v>
      </c>
      <c r="D345">
        <v>0.125</v>
      </c>
      <c r="E345">
        <v>0.75</v>
      </c>
      <c r="F345">
        <v>0.125</v>
      </c>
      <c r="G345">
        <v>0.75</v>
      </c>
    </row>
    <row r="346" spans="1:7" x14ac:dyDescent="0.15">
      <c r="A346" t="str">
        <f>HYPERLINK("./new_k5/query_cmdrels_weight_analyze/0.2_0.6_0.2/ul_116070.xlsx","ul_116070")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HYPERLINK("./new_k5/query_cmdrels_weight_analyze/0.2_0.6_0.2/ul_11851.xlsx","ul_11851")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HYPERLINK("./new_k5/query_cmdrels_weight_analyze/0.2_0.6_0.2/ul_119126.xlsx","ul_119126")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HYPERLINK("./new_k5/query_cmdrels_weight_analyze/0.2_0.6_0.2/ul_121718.xlsx","ul_121718")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HYPERLINK("./new_k5/query_cmdrels_weight_analyze/0.2_0.6_0.2/ul_12227.xlsx","ul_12227")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HYPERLINK("./new_k5/query_cmdrels_weight_analyze/0.2_0.6_0.2/ul_12453.xlsx","ul_12453")</f>
        <v>ul_12453</v>
      </c>
      <c r="B351">
        <v>0</v>
      </c>
      <c r="C351">
        <v>0.25</v>
      </c>
      <c r="D351">
        <v>0.125</v>
      </c>
      <c r="E351">
        <v>0.75</v>
      </c>
      <c r="F351">
        <v>0.125</v>
      </c>
      <c r="G351">
        <v>1</v>
      </c>
    </row>
    <row r="352" spans="1:7" x14ac:dyDescent="0.15">
      <c r="A352" t="str">
        <f>HYPERLINK("./new_k5/query_cmdrels_weight_analyze/0.2_0.6_0.2/ul_12535.xlsx","ul_12535")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0.28666666666666663</v>
      </c>
    </row>
    <row r="353" spans="1:7" x14ac:dyDescent="0.15">
      <c r="A353" t="str">
        <f>HYPERLINK("./new_k5/query_cmdrels_weight_analyze/0.2_0.6_0.2/ul_127066.xlsx","ul_127066")</f>
        <v>ul_127066</v>
      </c>
      <c r="B353">
        <v>0.25</v>
      </c>
      <c r="C353">
        <v>0.25</v>
      </c>
      <c r="D353">
        <v>0.25</v>
      </c>
      <c r="E353">
        <v>0.25</v>
      </c>
      <c r="F353">
        <v>0.25</v>
      </c>
      <c r="G353">
        <v>0.375</v>
      </c>
    </row>
    <row r="354" spans="1:7" x14ac:dyDescent="0.15">
      <c r="A354" t="str">
        <f>HYPERLINK("./new_k5/query_cmdrels_weight_analyze/0.2_0.6_0.2/ul_128953.xlsx","ul_128953")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HYPERLINK("./new_k5/query_cmdrels_weight_analyze/0.2_0.6_0.2/ul_134829.xlsx","ul_134829")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0.66666666666666663</v>
      </c>
    </row>
    <row r="356" spans="1:7" x14ac:dyDescent="0.15">
      <c r="A356" t="str">
        <f>HYPERLINK("./new_k5/query_cmdrels_weight_analyze/0.2_0.6_0.2/ul_136371.xlsx","ul_136371")</f>
        <v>ul_136371</v>
      </c>
      <c r="B356">
        <v>0</v>
      </c>
      <c r="C356">
        <v>0</v>
      </c>
      <c r="D356">
        <v>0</v>
      </c>
      <c r="E356">
        <v>0.16666666666666671</v>
      </c>
      <c r="F356">
        <v>0</v>
      </c>
      <c r="G356">
        <v>0.3</v>
      </c>
    </row>
    <row r="357" spans="1:7" x14ac:dyDescent="0.15">
      <c r="A357" t="str">
        <f>HYPERLINK("./new_k5/query_cmdrels_weight_analyze/0.2_0.6_0.2/ul_136884.xlsx","ul_136884")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HYPERLINK("./new_k5/query_cmdrels_weight_analyze/0.2_0.6_0.2/ul_138398.xlsx","ul_138398")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HYPERLINK("./new_k5/query_cmdrels_weight_analyze/0.2_0.6_0.2/ul_139271.xlsx","ul_139271")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0.16666666666666671</v>
      </c>
      <c r="F359">
        <v>0.33333333333333331</v>
      </c>
      <c r="G359">
        <v>0.35</v>
      </c>
    </row>
    <row r="360" spans="1:7" x14ac:dyDescent="0.15">
      <c r="A360" t="str">
        <f>HYPERLINK("./new_k5/query_cmdrels_weight_analyze/0.2_0.6_0.2/ul_140482.xlsx","ul_140482")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HYPERLINK("./new_k5/query_cmdrels_weight_analyze/0.2_0.6_0.2/ul_14191.xlsx","ul_14191")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0.1111111111111111</v>
      </c>
    </row>
    <row r="362" spans="1:7" x14ac:dyDescent="0.15">
      <c r="A362" t="str">
        <f>HYPERLINK("./new_k5/query_cmdrels_weight_analyze/0.2_0.6_0.2/ul_145929.xlsx","ul_145929")</f>
        <v>ul_145929</v>
      </c>
      <c r="B362">
        <v>0</v>
      </c>
      <c r="C362">
        <v>0</v>
      </c>
      <c r="D362">
        <v>0.16666666666666671</v>
      </c>
      <c r="E362">
        <v>0.58333333333333326</v>
      </c>
      <c r="F362">
        <v>0.16666666666666671</v>
      </c>
      <c r="G362">
        <v>0.58333333333333326</v>
      </c>
    </row>
    <row r="363" spans="1:7" x14ac:dyDescent="0.15">
      <c r="A363" t="str">
        <f>HYPERLINK("./new_k5/query_cmdrels_weight_analyze/0.2_0.6_0.2/ul_148985.xlsx","ul_148985")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HYPERLINK("./new_k5/query_cmdrels_weight_analyze/0.2_0.6_0.2/ul_15405.xlsx","ul_15405")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HYPERLINK("./new_k5/query_cmdrels_weight_analyze/0.2_0.6_0.2/ul_155551.xlsx","ul_155551")</f>
        <v>ul_155551</v>
      </c>
      <c r="B365">
        <v>0</v>
      </c>
      <c r="C365">
        <v>0.5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HYPERLINK("./new_k5/query_cmdrels_weight_analyze/0.2_0.6_0.2/ul_159672.xlsx","ul_159672")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HYPERLINK("./new_k5/query_cmdrels_weight_analyze/0.2_0.6_0.2/ul_163845.xlsx","ul_163845")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HYPERLINK("./new_k5/query_cmdrels_weight_analyze/0.2_0.6_0.2/ul_16407.xlsx","ul_16407")</f>
        <v>ul_16407</v>
      </c>
      <c r="B368">
        <v>0.5</v>
      </c>
      <c r="C368">
        <v>0</v>
      </c>
      <c r="D368">
        <v>0.5</v>
      </c>
      <c r="E368">
        <v>0.25</v>
      </c>
      <c r="F368">
        <v>0.75</v>
      </c>
      <c r="G368">
        <v>0.25</v>
      </c>
    </row>
    <row r="369" spans="1:7" x14ac:dyDescent="0.15">
      <c r="A369" t="str">
        <f>HYPERLINK("./new_k5/query_cmdrels_weight_analyze/0.2_0.6_0.2/ul_166558.xlsx","ul_166558")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HYPERLINK("./new_k5/query_cmdrels_weight_analyze/0.2_0.6_0.2/ul_171314.xlsx","ul_171314")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0.25</v>
      </c>
    </row>
    <row r="371" spans="1:7" x14ac:dyDescent="0.15">
      <c r="A371" t="str">
        <f>HYPERLINK("./new_k5/query_cmdrels_weight_analyze/0.2_0.6_0.2/ul_182032.xlsx","ul_182032")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HYPERLINK("./new_k5/query_cmdrels_weight_analyze/0.2_0.6_0.2/ul_19344.xlsx","ul_19344")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HYPERLINK("./new_k5/query_cmdrels_weight_analyze/0.2_0.6_0.2/ul_19369.xlsx","ul_19369")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HYPERLINK("./new_k5/query_cmdrels_weight_analyze/0.2_0.6_0.2/ul_19485.xlsx","ul_19485")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HYPERLINK("./new_k5/query_cmdrels_weight_analyze/0.2_0.6_0.2/ul_20370.xlsx","ul_20370")</f>
        <v>ul_20370</v>
      </c>
      <c r="B375">
        <v>0</v>
      </c>
      <c r="C375">
        <v>0.5</v>
      </c>
      <c r="D375">
        <v>0</v>
      </c>
      <c r="E375">
        <v>0.5</v>
      </c>
      <c r="F375">
        <v>0</v>
      </c>
      <c r="G375">
        <v>0.5</v>
      </c>
    </row>
    <row r="376" spans="1:7" x14ac:dyDescent="0.15">
      <c r="A376" t="str">
        <f>HYPERLINK("./new_k5/query_cmdrels_weight_analyze/0.2_0.6_0.2/ul_211817.xlsx","ul_211817")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HYPERLINK("./new_k5/query_cmdrels_weight_analyze/0.2_0.6_0.2/ul_212925.xlsx","ul_212925")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HYPERLINK("./new_k5/query_cmdrels_weight_analyze/0.2_0.6_0.2/ul_21471.xlsx","ul_21471")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HYPERLINK("./new_k5/query_cmdrels_weight_analyze/0.2_0.6_0.2/ul_22545.xlsx","ul_22545")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HYPERLINK("./new_k5/query_cmdrels_weight_analyze/0.2_0.6_0.2/ul_230481.xlsx","ul_230481")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HYPERLINK("./new_k5/query_cmdrels_weight_analyze/0.2_0.6_0.2/ul_230673.xlsx","ul_230673")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0.45</v>
      </c>
    </row>
    <row r="382" spans="1:7" x14ac:dyDescent="0.15">
      <c r="A382" t="str">
        <f>HYPERLINK("./new_k5/query_cmdrels_weight_analyze/0.2_0.6_0.2/ul_230800.xlsx","ul_230800")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HYPERLINK("./new_k5/query_cmdrels_weight_analyze/0.2_0.6_0.2/ul_232384.xlsx","ul_232384")</f>
        <v>ul_232384</v>
      </c>
      <c r="B383">
        <v>0</v>
      </c>
      <c r="C383">
        <v>0.5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HYPERLINK("./new_k5/query_cmdrels_weight_analyze/0.2_0.6_0.2/ul_24441.xlsx","ul_24441")</f>
        <v>ul_24441</v>
      </c>
      <c r="B384">
        <v>0</v>
      </c>
      <c r="C384">
        <v>0.5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HYPERLINK("./new_k5/query_cmdrels_weight_analyze/0.2_0.6_0.2/ul_246535.xlsx","ul_246535")</f>
        <v>ul_246535</v>
      </c>
      <c r="B385">
        <v>0.2</v>
      </c>
      <c r="C385">
        <v>0</v>
      </c>
      <c r="D385">
        <v>0.2</v>
      </c>
      <c r="E385">
        <v>0.23333333333333331</v>
      </c>
      <c r="F385">
        <v>0.2</v>
      </c>
      <c r="G385">
        <v>0.23333333333333331</v>
      </c>
    </row>
    <row r="386" spans="1:7" x14ac:dyDescent="0.15">
      <c r="A386" t="str">
        <f>HYPERLINK("./new_k5/query_cmdrels_weight_analyze/0.2_0.6_0.2/ul_259791.xlsx","ul_259791")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HYPERLINK("./new_k5/query_cmdrels_weight_analyze/0.2_0.6_0.2/ul_273971.xlsx","ul_273971")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0.27777777777777768</v>
      </c>
      <c r="F387">
        <v>0.43333333333333329</v>
      </c>
      <c r="G387">
        <v>0.27777777777777768</v>
      </c>
    </row>
    <row r="388" spans="1:7" x14ac:dyDescent="0.15">
      <c r="A388" t="str">
        <f>HYPERLINK("./new_k5/query_cmdrels_weight_analyze/0.2_0.6_0.2/ul_28553.xlsx","ul_28553")</f>
        <v>ul_28553</v>
      </c>
      <c r="B388">
        <v>0.25</v>
      </c>
      <c r="C388">
        <v>0</v>
      </c>
      <c r="D388">
        <v>0.5</v>
      </c>
      <c r="E388">
        <v>0.125</v>
      </c>
      <c r="F388">
        <v>0.5</v>
      </c>
      <c r="G388">
        <v>0.125</v>
      </c>
    </row>
    <row r="389" spans="1:7" x14ac:dyDescent="0.15">
      <c r="A389" t="str">
        <f>HYPERLINK("./new_k5/query_cmdrels_weight_analyze/0.2_0.6_0.2/ul_288521.xlsx","ul_288521")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HYPERLINK("./new_k5/query_cmdrels_weight_analyze/0.2_0.6_0.2/ul_32290.xlsx","ul_32290")</f>
        <v>ul_32290</v>
      </c>
      <c r="B390">
        <v>0</v>
      </c>
      <c r="C390">
        <v>0</v>
      </c>
      <c r="D390">
        <v>0</v>
      </c>
      <c r="E390">
        <v>8.3333333333333329E-2</v>
      </c>
      <c r="F390">
        <v>0</v>
      </c>
      <c r="G390">
        <v>8.3333333333333329E-2</v>
      </c>
    </row>
    <row r="391" spans="1:7" x14ac:dyDescent="0.15">
      <c r="A391" t="str">
        <f>HYPERLINK("./new_k5/query_cmdrels_weight_analyze/0.2_0.6_0.2/ul_328882.xlsx","ul_328882")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HYPERLINK("./new_k5/query_cmdrels_weight_analyze/0.2_0.6_0.2/ul_35131.xlsx","ul_35131")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0.66666666666666663</v>
      </c>
    </row>
    <row r="393" spans="1:7" x14ac:dyDescent="0.15">
      <c r="A393" t="str">
        <f>HYPERLINK("./new_k5/query_cmdrels_weight_analyze/0.2_0.6_0.2/ul_35333.xlsx","ul_35333")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HYPERLINK("./new_k5/query_cmdrels_weight_analyze/0.2_0.6_0.2/ul_35711.xlsx","ul_35711")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HYPERLINK("./new_k5/query_cmdrels_weight_analyze/0.2_0.6_0.2/ul_3575.xlsx","ul_3575")</f>
        <v>ul_3575</v>
      </c>
      <c r="B395">
        <v>0</v>
      </c>
      <c r="C395">
        <v>0</v>
      </c>
      <c r="D395">
        <v>8.3333333333333329E-2</v>
      </c>
      <c r="E395">
        <v>0</v>
      </c>
      <c r="F395">
        <v>8.3333333333333329E-2</v>
      </c>
      <c r="G395">
        <v>3.3333333333333333E-2</v>
      </c>
    </row>
    <row r="396" spans="1:7" x14ac:dyDescent="0.15">
      <c r="A396" t="str">
        <f>HYPERLINK("./new_k5/query_cmdrels_weight_analyze/0.2_0.6_0.2/ul_35832.xlsx","ul_35832")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HYPERLINK("./new_k5/query_cmdrels_weight_analyze/0.2_0.6_0.2/ul_370318.xlsx","ul_370318")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0.2857142857142857</v>
      </c>
      <c r="F397">
        <v>0.14285714285714279</v>
      </c>
      <c r="G397">
        <v>0.2857142857142857</v>
      </c>
    </row>
    <row r="398" spans="1:7" x14ac:dyDescent="0.15">
      <c r="A398" t="str">
        <f>HYPERLINK("./new_k5/query_cmdrels_weight_analyze/0.2_0.6_0.2/ul_37329.xlsx","ul_37329")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0.66666666666666663</v>
      </c>
      <c r="F398">
        <v>0.33333333333333331</v>
      </c>
      <c r="G398">
        <v>0.66666666666666663</v>
      </c>
    </row>
    <row r="399" spans="1:7" x14ac:dyDescent="0.15">
      <c r="A399" t="str">
        <f>HYPERLINK("./new_k5/query_cmdrels_weight_analyze/0.2_0.6_0.2/ul_38209.xlsx","ul_38209")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HYPERLINK("./new_k5/query_cmdrels_weight_analyze/0.2_0.6_0.2/ul_41246.xlsx","ul_41246")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HYPERLINK("./new_k5/query_cmdrels_weight_analyze/0.2_0.6_0.2/ul_41362.xlsx","ul_41362")</f>
        <v>ul_41362</v>
      </c>
      <c r="B401">
        <v>0</v>
      </c>
      <c r="C401">
        <v>0</v>
      </c>
      <c r="D401">
        <v>0</v>
      </c>
      <c r="E401">
        <v>8.3333333333333329E-2</v>
      </c>
      <c r="F401">
        <v>0</v>
      </c>
      <c r="G401">
        <v>8.3333333333333329E-2</v>
      </c>
    </row>
    <row r="402" spans="1:7" x14ac:dyDescent="0.15">
      <c r="A402" t="str">
        <f>HYPERLINK("./new_k5/query_cmdrels_weight_analyze/0.2_0.6_0.2/ul_48200.xlsx","ul_48200")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HYPERLINK("./new_k5/query_cmdrels_weight_analyze/0.2_0.6_0.2/ul_50098.xlsx","ul_50098")</f>
        <v>ul_50098</v>
      </c>
      <c r="B403">
        <v>0</v>
      </c>
      <c r="C403">
        <v>0</v>
      </c>
      <c r="D403">
        <v>0.1166666666666667</v>
      </c>
      <c r="E403">
        <v>0.05</v>
      </c>
      <c r="F403">
        <v>0.1166666666666667</v>
      </c>
      <c r="G403">
        <v>0.16</v>
      </c>
    </row>
    <row r="404" spans="1:7" x14ac:dyDescent="0.15">
      <c r="A404" t="str">
        <f>HYPERLINK("./new_k5/query_cmdrels_weight_analyze/0.2_0.6_0.2/ul_50785.xlsx","ul_50785")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HYPERLINK("./new_k5/query_cmdrels_weight_analyze/0.2_0.6_0.2/ul_5085.xlsx","ul_5085")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HYPERLINK("./new_k5/query_cmdrels_weight_analyze/0.2_0.6_0.2/ul_53737.xlsx","ul_53737")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HYPERLINK("./new_k5/query_cmdrels_weight_analyze/0.2_0.6_0.2/ul_55125.xlsx","ul_55125")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HYPERLINK("./new_k5/query_cmdrels_weight_analyze/0.2_0.6_0.2/ul_56453.xlsx","ul_56453")</f>
        <v>ul_56453</v>
      </c>
      <c r="B408">
        <v>0</v>
      </c>
      <c r="C408">
        <v>0.25</v>
      </c>
      <c r="D408">
        <v>8.3333333333333329E-2</v>
      </c>
      <c r="E408">
        <v>0.41666666666666657</v>
      </c>
      <c r="F408">
        <v>8.3333333333333329E-2</v>
      </c>
      <c r="G408">
        <v>0.56666666666666665</v>
      </c>
    </row>
    <row r="409" spans="1:7" x14ac:dyDescent="0.15">
      <c r="A409" t="str">
        <f>HYPERLINK("./new_k5/query_cmdrels_weight_analyze/0.2_0.6_0.2/ul_63648.xlsx","ul_63648")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HYPERLINK("./new_k5/query_cmdrels_weight_analyze/0.2_0.6_0.2/ul_6402.xlsx","ul_6402")</f>
        <v>ul_6402</v>
      </c>
      <c r="B410">
        <v>0.33333333333333331</v>
      </c>
      <c r="C410">
        <v>0</v>
      </c>
      <c r="D410">
        <v>0.33333333333333331</v>
      </c>
      <c r="E410">
        <v>0.16666666666666671</v>
      </c>
      <c r="F410">
        <v>0.33333333333333331</v>
      </c>
      <c r="G410">
        <v>0.16666666666666671</v>
      </c>
    </row>
    <row r="411" spans="1:7" x14ac:dyDescent="0.15">
      <c r="A411" t="str">
        <f>HYPERLINK("./new_k5/query_cmdrels_weight_analyze/0.2_0.6_0.2/ul_65106.xlsx","ul_65106")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0.66666666666666663</v>
      </c>
    </row>
    <row r="412" spans="1:7" x14ac:dyDescent="0.15">
      <c r="A412" t="str">
        <f>HYPERLINK("./new_k5/query_cmdrels_weight_analyze/0.2_0.6_0.2/ul_65932.xlsx","ul_65932")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HYPERLINK("./new_k5/query_cmdrels_weight_analyze/0.2_0.6_0.2/ul_6596.xlsx","ul_6596")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HYPERLINK("./new_k5/query_cmdrels_weight_analyze/0.2_0.6_0.2/ul_67503.xlsx","ul_67503")</f>
        <v>ul_67503</v>
      </c>
      <c r="B414">
        <v>0</v>
      </c>
      <c r="C414">
        <v>0.5</v>
      </c>
      <c r="D414">
        <v>0.25</v>
      </c>
      <c r="E414">
        <v>0.5</v>
      </c>
      <c r="F414">
        <v>0.5</v>
      </c>
      <c r="G414">
        <v>0.5</v>
      </c>
    </row>
    <row r="415" spans="1:7" x14ac:dyDescent="0.15">
      <c r="A415" t="str">
        <f>HYPERLINK("./new_k5/query_cmdrels_weight_analyze/0.2_0.6_0.2/ul_67592.xlsx","ul_67592")</f>
        <v>ul_67592</v>
      </c>
      <c r="B415">
        <v>0.33333333333333331</v>
      </c>
      <c r="C415">
        <v>0</v>
      </c>
      <c r="D415">
        <v>0.33333333333333331</v>
      </c>
      <c r="E415">
        <v>0</v>
      </c>
      <c r="F415">
        <v>0.33333333333333331</v>
      </c>
      <c r="G415">
        <v>6.6666666666666666E-2</v>
      </c>
    </row>
    <row r="416" spans="1:7" x14ac:dyDescent="0.15">
      <c r="A416" t="str">
        <f>HYPERLINK("./new_k5/query_cmdrels_weight_analyze/0.2_0.6_0.2/ul_70581.xlsx","ul_70581")</f>
        <v>ul_70581</v>
      </c>
      <c r="B416">
        <v>0</v>
      </c>
      <c r="C416">
        <v>0.2</v>
      </c>
      <c r="D416">
        <v>0.1</v>
      </c>
      <c r="E416">
        <v>0.4</v>
      </c>
      <c r="F416">
        <v>0.1</v>
      </c>
      <c r="G416">
        <v>0.55000000000000004</v>
      </c>
    </row>
    <row r="417" spans="1:7" x14ac:dyDescent="0.15">
      <c r="A417" t="str">
        <f>HYPERLINK("./new_k5/query_cmdrels_weight_analyze/0.2_0.6_0.2/ul_70614.xlsx","ul_70614")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HYPERLINK("./new_k5/query_cmdrels_weight_analyze/0.2_0.6_0.2/ul_71465.xlsx","ul_71465")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HYPERLINK("./new_k5/query_cmdrels_weight_analyze/0.2_0.6_0.2/ul_7226.xlsx","ul_7226")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0.33333333333333331</v>
      </c>
      <c r="F419">
        <v>0.33333333333333331</v>
      </c>
      <c r="G419">
        <v>0.5</v>
      </c>
    </row>
    <row r="420" spans="1:7" x14ac:dyDescent="0.15">
      <c r="A420" t="str">
        <f>HYPERLINK("./new_k5/query_cmdrels_weight_analyze/0.2_0.6_0.2/ul_78182.xlsx","ul_78182")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</v>
      </c>
    </row>
    <row r="421" spans="1:7" x14ac:dyDescent="0.15">
      <c r="A421" t="str">
        <f>HYPERLINK("./new_k5/query_cmdrels_weight_analyze/0.2_0.6_0.2/ul_79678.xlsx","ul_79678")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HYPERLINK("./new_k5/query_cmdrels_weight_analyze/0.2_0.6_0.2/ul_79702.xlsx","ul_79702")</f>
        <v>ul_79702</v>
      </c>
      <c r="B422">
        <v>0</v>
      </c>
      <c r="C422">
        <v>0.33333333333333331</v>
      </c>
      <c r="D422">
        <v>0</v>
      </c>
      <c r="E422">
        <v>0.55555555555555547</v>
      </c>
      <c r="F422">
        <v>0</v>
      </c>
      <c r="G422">
        <v>0.75555555555555554</v>
      </c>
    </row>
    <row r="423" spans="1:7" x14ac:dyDescent="0.15">
      <c r="A423" t="str">
        <f>HYPERLINK("./new_k5/query_cmdrels_weight_analyze/0.2_0.6_0.2/ul_83593.xlsx","ul_83593")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HYPERLINK("./new_k5/query_cmdrels_weight_analyze/0.2_0.6_0.2/ul_84381.xlsx","ul_84381")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HYPERLINK("./new_k5/query_cmdrels_weight_analyze/0.2_0.6_0.2/ul_85180.xlsx","ul_85180")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0.27777777777777768</v>
      </c>
    </row>
    <row r="426" spans="1:7" x14ac:dyDescent="0.15">
      <c r="A426" t="str">
        <f>HYPERLINK("./new_k5/query_cmdrels_weight_analyze/0.2_0.6_0.2/ul_86071.xlsx","ul_86071")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HYPERLINK("./new_k5/query_cmdrels_weight_analyze/0.2_0.6_0.2/ul_86729.xlsx","ul_86729")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HYPERLINK("./new_k5/query_cmdrels_weight_analyze/0.2_0.6_0.2/ul_88824.xlsx","ul_88824")</f>
        <v>ul_88824</v>
      </c>
      <c r="B428">
        <v>0</v>
      </c>
      <c r="C428">
        <v>0.33333333333333331</v>
      </c>
      <c r="D428">
        <v>0</v>
      </c>
      <c r="E428">
        <v>0.33333333333333331</v>
      </c>
      <c r="F428">
        <v>0</v>
      </c>
      <c r="G428">
        <v>0.5</v>
      </c>
    </row>
    <row r="429" spans="1:7" x14ac:dyDescent="0.15">
      <c r="A429" t="str">
        <f>HYPERLINK("./new_k5/query_cmdrels_weight_analyze/0.2_0.6_0.2/ul_8945.xlsx","ul_8945")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HYPERLINK("./new_k5/query_cmdrels_weight_analyze/0.2_0.6_0.2/ul_89933.xlsx","ul_89933")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HYPERLINK("./new_k5/query_cmdrels_weight_analyze/0.2_0.6_0.2/ul_91297.xlsx","ul_91297")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HYPERLINK("./new_k5/query_cmdrels_weight_analyze/0.2_0.6_0.2/ul_9252.xlsx","ul_9252")</f>
        <v>ul_9252</v>
      </c>
      <c r="B432">
        <v>0</v>
      </c>
      <c r="C432">
        <v>0</v>
      </c>
      <c r="D432">
        <v>0.23333333333333331</v>
      </c>
      <c r="E432">
        <v>6.6666666666666666E-2</v>
      </c>
      <c r="F432">
        <v>0.23333333333333331</v>
      </c>
      <c r="G432">
        <v>0.1466666666666667</v>
      </c>
    </row>
    <row r="433" spans="1:7" x14ac:dyDescent="0.15">
      <c r="A433" t="str">
        <f>HYPERLINK("./new_k5/query_cmdrels_weight_analyze/0.2_0.6_0.2/ul_92560.xlsx","ul_92560")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0.5</v>
      </c>
    </row>
    <row r="434" spans="1:7" x14ac:dyDescent="0.15">
      <c r="A434" t="str">
        <f>HYPERLINK("./new_k5/query_cmdrels_weight_analyze/0.2_0.6_0.2/ul_92799.xlsx","ul_92799")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0.5</v>
      </c>
      <c r="F434">
        <v>0.53611111111111109</v>
      </c>
      <c r="G434">
        <v>0.66666666666666663</v>
      </c>
    </row>
    <row r="435" spans="1:7" x14ac:dyDescent="0.15">
      <c r="A435" t="str">
        <f>HYPERLINK("./new_k5/query_cmdrels_weight_analyze/0.2_0.6_0.2/ul_93139.xlsx","ul_93139")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HYPERLINK("./new_k5/query_cmdrels_weight_analyze/0.2_0.6_0.2/ul_98461.xlsx","ul_98461")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HYPERLINK("./new_k5/query_cmdrels_weight_analyze/0.2_0.7_0.1/au_102733.xlsx","au_102733")</f>
        <v>au_102733</v>
      </c>
      <c r="B3">
        <v>0.25</v>
      </c>
      <c r="C3">
        <v>0</v>
      </c>
      <c r="D3">
        <v>0.5</v>
      </c>
      <c r="E3">
        <v>0.125</v>
      </c>
      <c r="F3">
        <v>0.5</v>
      </c>
      <c r="G3">
        <v>0.125</v>
      </c>
    </row>
    <row r="4" spans="1:7" x14ac:dyDescent="0.15">
      <c r="A4" t="str">
        <f>HYPERLINK("./new_k5/query_cmdrels_weight_analyze/0.2_0.7_0.1/au_1029436.xlsx","au_1029436")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HYPERLINK("./new_k5/query_cmdrels_weight_analyze/0.2_0.7_0.1/au_1029502.xlsx","au_1029502")</f>
        <v>au_1029502</v>
      </c>
      <c r="B5">
        <v>0.25</v>
      </c>
      <c r="C5">
        <v>0.25</v>
      </c>
      <c r="D5">
        <v>0.25</v>
      </c>
      <c r="E5">
        <v>0.25</v>
      </c>
      <c r="F5">
        <v>0.375</v>
      </c>
      <c r="G5">
        <v>0.25</v>
      </c>
    </row>
    <row r="6" spans="1:7" x14ac:dyDescent="0.15">
      <c r="A6" t="str">
        <f>HYPERLINK("./new_k5/query_cmdrels_weight_analyze/0.2_0.7_0.1/au_1029531.xlsx","au_1029531")</f>
        <v>au_1029531</v>
      </c>
      <c r="B6">
        <v>0.33333333333333331</v>
      </c>
      <c r="C6">
        <v>0</v>
      </c>
      <c r="D6">
        <v>0.33333333333333331</v>
      </c>
      <c r="E6">
        <v>0.1111111111111111</v>
      </c>
      <c r="F6">
        <v>0.46666666666666662</v>
      </c>
      <c r="G6">
        <v>0.1111111111111111</v>
      </c>
    </row>
    <row r="7" spans="1:7" x14ac:dyDescent="0.15">
      <c r="A7" t="str">
        <f>HYPERLINK("./new_k5/query_cmdrels_weight_analyze/0.2_0.7_0.1/au_104542.xlsx","au_104542")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HYPERLINK("./new_k5/query_cmdrels_weight_analyze/0.2_0.7_0.1/au_109070.xlsx","au_109070")</f>
        <v>au_109070</v>
      </c>
      <c r="B8">
        <v>0</v>
      </c>
      <c r="C8">
        <v>0</v>
      </c>
      <c r="D8">
        <v>0.23333333333333331</v>
      </c>
      <c r="E8">
        <v>0</v>
      </c>
      <c r="F8">
        <v>0.3833333333333333</v>
      </c>
      <c r="G8">
        <v>0.05</v>
      </c>
    </row>
    <row r="9" spans="1:7" x14ac:dyDescent="0.15">
      <c r="A9" t="str">
        <f>HYPERLINK("./new_k5/query_cmdrels_weight_analyze/0.2_0.7_0.1/au_109381.xlsx","au_109381")</f>
        <v>au_109381</v>
      </c>
      <c r="B9">
        <v>0</v>
      </c>
      <c r="C9">
        <v>0.5</v>
      </c>
      <c r="D9">
        <v>0.25</v>
      </c>
      <c r="E9">
        <v>0.83333333333333326</v>
      </c>
      <c r="F9">
        <v>0.25</v>
      </c>
      <c r="G9">
        <v>0.83333333333333326</v>
      </c>
    </row>
    <row r="10" spans="1:7" x14ac:dyDescent="0.15">
      <c r="A10" t="str">
        <f>HYPERLINK("./new_k5/query_cmdrels_weight_analyze/0.2_0.7_0.1/au_110477.xlsx","au_110477")</f>
        <v>au_110477</v>
      </c>
      <c r="B10">
        <v>0.25</v>
      </c>
      <c r="C10">
        <v>0.25</v>
      </c>
      <c r="D10">
        <v>0.5</v>
      </c>
      <c r="E10">
        <v>0.75</v>
      </c>
      <c r="F10">
        <v>0.5</v>
      </c>
      <c r="G10">
        <v>0.75</v>
      </c>
    </row>
    <row r="11" spans="1:7" x14ac:dyDescent="0.15">
      <c r="A11" t="str">
        <f>HYPERLINK("./new_k5/query_cmdrels_weight_analyze/0.2_0.7_0.1/au_111678.xlsx","au_111678")</f>
        <v>au_111678</v>
      </c>
      <c r="B11">
        <v>0</v>
      </c>
      <c r="C11">
        <v>0</v>
      </c>
      <c r="D11">
        <v>0.1111111111111111</v>
      </c>
      <c r="E11">
        <v>0.1111111111111111</v>
      </c>
      <c r="F11">
        <v>0.1111111111111111</v>
      </c>
      <c r="G11">
        <v>0.1111111111111111</v>
      </c>
    </row>
    <row r="12" spans="1:7" x14ac:dyDescent="0.15">
      <c r="A12" t="str">
        <f>HYPERLINK("./new_k5/query_cmdrels_weight_analyze/0.2_0.7_0.1/au_112512.xlsx","au_112512")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HYPERLINK("./new_k5/query_cmdrels_weight_analyze/0.2_0.7_0.1/au_115369.xlsx","au_115369")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HYPERLINK("./new_k5/query_cmdrels_weight_analyze/0.2_0.7_0.1/au_11789.xlsx","au_11789")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HYPERLINK("./new_k5/query_cmdrels_weight_analyze/0.2_0.7_0.1/au_117950.xlsx","au_117950")</f>
        <v>au_117950</v>
      </c>
      <c r="B15">
        <v>0</v>
      </c>
      <c r="C15">
        <v>0</v>
      </c>
      <c r="D15">
        <v>0.16666666666666671</v>
      </c>
      <c r="E15">
        <v>0.16666666666666671</v>
      </c>
      <c r="F15">
        <v>0.16666666666666671</v>
      </c>
      <c r="G15">
        <v>0.3666666666666667</v>
      </c>
    </row>
    <row r="16" spans="1:7" x14ac:dyDescent="0.15">
      <c r="A16" t="str">
        <f>HYPERLINK("./new_k5/query_cmdrels_weight_analyze/0.2_0.7_0.1/au_122113.xlsx","au_122113")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HYPERLINK("./new_k5/query_cmdrels_weight_analyze/0.2_0.7_0.1/au_123798.xlsx","au_123798")</f>
        <v>au_123798</v>
      </c>
      <c r="B17">
        <v>0</v>
      </c>
      <c r="C17">
        <v>0</v>
      </c>
      <c r="D17">
        <v>5.5555555555555552E-2</v>
      </c>
      <c r="E17">
        <v>5.5555555555555552E-2</v>
      </c>
      <c r="F17">
        <v>0.23888888888888879</v>
      </c>
      <c r="G17">
        <v>0.23888888888888879</v>
      </c>
    </row>
    <row r="18" spans="1:7" x14ac:dyDescent="0.15">
      <c r="A18" t="str">
        <f>HYPERLINK("./new_k5/query_cmdrels_weight_analyze/0.2_0.7_0.1/au_125257.xlsx","au_125257")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HYPERLINK("./new_k5/query_cmdrels_weight_analyze/0.2_0.7_0.1/au_126153.xlsx","au_126153")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0.27777777777777768</v>
      </c>
      <c r="F19">
        <v>0.45833333333333331</v>
      </c>
      <c r="G19">
        <v>0.27777777777777768</v>
      </c>
    </row>
    <row r="20" spans="1:7" x14ac:dyDescent="0.15">
      <c r="A20" t="str">
        <f>HYPERLINK("./new_k5/query_cmdrels_weight_analyze/0.2_0.7_0.1/au_127326.xlsx","au_127326")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HYPERLINK("./new_k5/query_cmdrels_weight_analyze/0.2_0.7_0.1/au_128463.xlsx","au_128463")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HYPERLINK("./new_k5/query_cmdrels_weight_analyze/0.2_0.7_0.1/au_130393.xlsx","au_130393")</f>
        <v>au_130393</v>
      </c>
      <c r="B22">
        <v>0</v>
      </c>
      <c r="C22">
        <v>0.25</v>
      </c>
      <c r="D22">
        <v>0.125</v>
      </c>
      <c r="E22">
        <v>0.25</v>
      </c>
      <c r="F22">
        <v>0.125</v>
      </c>
      <c r="G22">
        <v>0.375</v>
      </c>
    </row>
    <row r="23" spans="1:7" x14ac:dyDescent="0.15">
      <c r="A23" t="str">
        <f>HYPERLINK("./new_k5/query_cmdrels_weight_analyze/0.2_0.7_0.1/au_131570.xlsx","au_131570")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HYPERLINK("./new_k5/query_cmdrels_weight_analyze/0.2_0.7_0.1/au_133318.xlsx","au_133318")</f>
        <v>au_133318</v>
      </c>
      <c r="B24">
        <v>0</v>
      </c>
      <c r="C24">
        <v>0.25</v>
      </c>
      <c r="D24">
        <v>0</v>
      </c>
      <c r="E24">
        <v>0.41666666666666657</v>
      </c>
      <c r="F24">
        <v>0</v>
      </c>
      <c r="G24">
        <v>0.41666666666666657</v>
      </c>
    </row>
    <row r="25" spans="1:7" x14ac:dyDescent="0.15">
      <c r="A25" t="str">
        <f>HYPERLINK("./new_k5/query_cmdrels_weight_analyze/0.2_0.7_0.1/au_133343.xlsx","au_133343")</f>
        <v>au_133343</v>
      </c>
      <c r="B25">
        <v>0</v>
      </c>
      <c r="C25">
        <v>0</v>
      </c>
      <c r="D25">
        <v>0</v>
      </c>
      <c r="E25">
        <v>0.1111111111111111</v>
      </c>
      <c r="F25">
        <v>0</v>
      </c>
      <c r="G25">
        <v>0.1111111111111111</v>
      </c>
    </row>
    <row r="26" spans="1:7" x14ac:dyDescent="0.15">
      <c r="A26" t="str">
        <f>HYPERLINK("./new_k5/query_cmdrels_weight_analyze/0.2_0.7_0.1/au_133389.xlsx","au_133389")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HYPERLINK("./new_k5/query_cmdrels_weight_analyze/0.2_0.7_0.1/au_141277.xlsx","au_141277")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HYPERLINK("./new_k5/query_cmdrels_weight_analyze/0.2_0.7_0.1/au_143819.xlsx","au_143819")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HYPERLINK("./new_k5/query_cmdrels_weight_analyze/0.2_0.7_0.1/au_145935.xlsx","au_145935")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HYPERLINK("./new_k5/query_cmdrels_weight_analyze/0.2_0.7_0.1/au_147241.xlsx","au_147241")</f>
        <v>au_147241</v>
      </c>
      <c r="B30">
        <v>0</v>
      </c>
      <c r="C30">
        <v>0</v>
      </c>
      <c r="D30">
        <v>0.29166666666666657</v>
      </c>
      <c r="E30">
        <v>8.3333333333333329E-2</v>
      </c>
      <c r="F30">
        <v>0.29166666666666657</v>
      </c>
      <c r="G30">
        <v>0.18333333333333329</v>
      </c>
    </row>
    <row r="31" spans="1:7" x14ac:dyDescent="0.15">
      <c r="A31" t="str">
        <f>HYPERLINK("./new_k5/query_cmdrels_weight_analyze/0.2_0.7_0.1/au_147800.xlsx","au_147800")</f>
        <v>au_147800</v>
      </c>
      <c r="B31">
        <v>0</v>
      </c>
      <c r="C31">
        <v>0</v>
      </c>
      <c r="D31">
        <v>0.1111111111111111</v>
      </c>
      <c r="E31">
        <v>0.1111111111111111</v>
      </c>
      <c r="F31">
        <v>0.1111111111111111</v>
      </c>
      <c r="G31">
        <v>0.1111111111111111</v>
      </c>
    </row>
    <row r="32" spans="1:7" x14ac:dyDescent="0.15">
      <c r="A32" t="str">
        <f>HYPERLINK("./new_k5/query_cmdrels_weight_analyze/0.2_0.7_0.1/au_148321.xlsx","au_148321")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0.33333333333333331</v>
      </c>
      <c r="F32">
        <v>0.16666666666666671</v>
      </c>
      <c r="G32">
        <v>0.33333333333333331</v>
      </c>
    </row>
    <row r="33" spans="1:7" x14ac:dyDescent="0.15">
      <c r="A33" t="str">
        <f>HYPERLINK("./new_k5/query_cmdrels_weight_analyze/0.2_0.7_0.1/au_148638.xlsx","au_148638")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HYPERLINK("./new_k5/query_cmdrels_weight_analyze/0.2_0.7_0.1/au_151049.xlsx","au_151049")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HYPERLINK("./new_k5/query_cmdrels_weight_analyze/0.2_0.7_0.1/au_151941.xlsx","au_151941")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HYPERLINK("./new_k5/query_cmdrels_weight_analyze/0.2_0.7_0.1/au_152297.xlsx","au_152297")</f>
        <v>au_152297</v>
      </c>
      <c r="B36">
        <v>0</v>
      </c>
      <c r="C36">
        <v>0</v>
      </c>
      <c r="D36">
        <v>7.1428571428571425E-2</v>
      </c>
      <c r="E36">
        <v>7.1428571428571425E-2</v>
      </c>
      <c r="F36">
        <v>7.1428571428571425E-2</v>
      </c>
      <c r="G36">
        <v>0.14285714285714279</v>
      </c>
    </row>
    <row r="37" spans="1:7" x14ac:dyDescent="0.15">
      <c r="A37" t="str">
        <f>HYPERLINK("./new_k5/query_cmdrels_weight_analyze/0.2_0.7_0.1/au_153976.xlsx","au_153976")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0.27777777777777768</v>
      </c>
      <c r="F37">
        <v>0.33333333333333331</v>
      </c>
      <c r="G37">
        <v>0.37777777777777782</v>
      </c>
    </row>
    <row r="38" spans="1:7" x14ac:dyDescent="0.15">
      <c r="A38" t="str">
        <f>HYPERLINK("./new_k5/query_cmdrels_weight_analyze/0.2_0.7_0.1/au_154431.xlsx","au_154431")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HYPERLINK("./new_k5/query_cmdrels_weight_analyze/0.2_0.7_0.1/au_159708.xlsx","au_159708")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0.55555555555555547</v>
      </c>
      <c r="F39">
        <v>0.33333333333333331</v>
      </c>
      <c r="G39">
        <v>0.55555555555555547</v>
      </c>
    </row>
    <row r="40" spans="1:7" x14ac:dyDescent="0.15">
      <c r="A40" t="str">
        <f>HYPERLINK("./new_k5/query_cmdrels_weight_analyze/0.2_0.7_0.1/au_160869.xlsx","au_160869")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HYPERLINK("./new_k5/query_cmdrels_weight_analyze/0.2_0.7_0.1/au_161313.xlsx","au_161313")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0.125</v>
      </c>
    </row>
    <row r="42" spans="1:7" x14ac:dyDescent="0.15">
      <c r="A42" t="str">
        <f>HYPERLINK("./new_k5/query_cmdrels_weight_analyze/0.2_0.7_0.1/au_162075.xlsx","au_162075")</f>
        <v>au_162075</v>
      </c>
      <c r="B42">
        <v>0.25</v>
      </c>
      <c r="C42">
        <v>0</v>
      </c>
      <c r="D42">
        <v>0.5</v>
      </c>
      <c r="E42">
        <v>8.3333333333333329E-2</v>
      </c>
      <c r="F42">
        <v>0.5</v>
      </c>
      <c r="G42">
        <v>0.18333333333333329</v>
      </c>
    </row>
    <row r="43" spans="1:7" x14ac:dyDescent="0.15">
      <c r="A43" t="str">
        <f>HYPERLINK("./new_k5/query_cmdrels_weight_analyze/0.2_0.7_0.1/au_16277.xlsx","au_16277")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0.83333333333333337</v>
      </c>
    </row>
    <row r="44" spans="1:7" x14ac:dyDescent="0.15">
      <c r="A44" t="str">
        <f>HYPERLINK("./new_k5/query_cmdrels_weight_analyze/0.2_0.7_0.1/au_163155.xlsx","au_163155")</f>
        <v>au_163155</v>
      </c>
      <c r="B44">
        <v>0.125</v>
      </c>
      <c r="C44">
        <v>0.125</v>
      </c>
      <c r="D44">
        <v>0.375</v>
      </c>
      <c r="E44">
        <v>0.20833333333333329</v>
      </c>
      <c r="F44">
        <v>0.5</v>
      </c>
      <c r="G44">
        <v>0.40208333333333329</v>
      </c>
    </row>
    <row r="45" spans="1:7" x14ac:dyDescent="0.15">
      <c r="A45" t="str">
        <f>HYPERLINK("./new_k5/query_cmdrels_weight_analyze/0.2_0.7_0.1/au_164473.xlsx","au_164473")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HYPERLINK("./new_k5/query_cmdrels_weight_analyze/0.2_0.7_0.1/au_16584.xlsx","au_16584")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0.15151515151515149</v>
      </c>
      <c r="F46">
        <v>0.13636363636363641</v>
      </c>
      <c r="G46">
        <v>0.2196969696969697</v>
      </c>
    </row>
    <row r="47" spans="1:7" x14ac:dyDescent="0.15">
      <c r="A47" t="str">
        <f>HYPERLINK("./new_k5/query_cmdrels_weight_analyze/0.2_0.7_0.1/au_166420.xlsx","au_166420")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HYPERLINK("./new_k5/query_cmdrels_weight_analyze/0.2_0.7_0.1/au_169473.xlsx","au_169473")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0.33333333333333331</v>
      </c>
      <c r="F48">
        <v>0.43333333333333329</v>
      </c>
      <c r="G48">
        <v>0.33333333333333331</v>
      </c>
    </row>
    <row r="49" spans="1:7" x14ac:dyDescent="0.15">
      <c r="A49" t="str">
        <f>HYPERLINK("./new_k5/query_cmdrels_weight_analyze/0.2_0.7_0.1/au_169516.xlsx","au_169516")</f>
        <v>au_169516</v>
      </c>
      <c r="B49">
        <v>0.25</v>
      </c>
      <c r="C49">
        <v>0.25</v>
      </c>
      <c r="D49">
        <v>0.25</v>
      </c>
      <c r="E49">
        <v>0.5</v>
      </c>
      <c r="F49">
        <v>0.25</v>
      </c>
      <c r="G49">
        <v>0.5</v>
      </c>
    </row>
    <row r="50" spans="1:7" x14ac:dyDescent="0.15">
      <c r="A50" t="str">
        <f>HYPERLINK("./new_k5/query_cmdrels_weight_analyze/0.2_0.7_0.1/au_174292.xlsx","au_174292")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HYPERLINK("./new_k5/query_cmdrels_weight_analyze/0.2_0.7_0.1/au_178481.xlsx","au_178481")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HYPERLINK("./new_k5/query_cmdrels_weight_analyze/0.2_0.7_0.1/au_180925.xlsx","au_180925")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HYPERLINK("./new_k5/query_cmdrels_weight_analyze/0.2_0.7_0.1/au_187888.xlsx","au_187888")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HYPERLINK("./new_k5/query_cmdrels_weight_analyze/0.2_0.7_0.1/au_191390.xlsx","au_191390")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HYPERLINK("./new_k5/query_cmdrels_weight_analyze/0.2_0.7_0.1/au_192798.xlsx","au_192798")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HYPERLINK("./new_k5/query_cmdrels_weight_analyze/0.2_0.7_0.1/au_201775.xlsx","au_201775")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0.33333333333333331</v>
      </c>
      <c r="F56">
        <v>0.66666666666666663</v>
      </c>
      <c r="G56">
        <v>0.70000000000000007</v>
      </c>
    </row>
    <row r="57" spans="1:7" x14ac:dyDescent="0.15">
      <c r="A57" t="str">
        <f>HYPERLINK("./new_k5/query_cmdrels_weight_analyze/0.2_0.7_0.1/au_204166.xlsx","au_204166")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HYPERLINK("./new_k5/query_cmdrels_weight_analyze/0.2_0.7_0.1/au_207447.xlsx","au_207447")</f>
        <v>au_207447</v>
      </c>
      <c r="B58">
        <v>0.33333333333333331</v>
      </c>
      <c r="C58">
        <v>0</v>
      </c>
      <c r="D58">
        <v>0.33333333333333331</v>
      </c>
      <c r="E58">
        <v>0</v>
      </c>
      <c r="F58">
        <v>0.33333333333333331</v>
      </c>
      <c r="G58">
        <v>0</v>
      </c>
    </row>
    <row r="59" spans="1:7" x14ac:dyDescent="0.15">
      <c r="A59" t="str">
        <f>HYPERLINK("./new_k5/query_cmdrels_weight_analyze/0.2_0.7_0.1/au_210680.xlsx","au_210680")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HYPERLINK("./new_k5/query_cmdrels_weight_analyze/0.2_0.7_0.1/au_214246.xlsx","au_214246")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HYPERLINK("./new_k5/query_cmdrels_weight_analyze/0.2_0.7_0.1/au_214643.xlsx","au_214643")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HYPERLINK("./new_k5/query_cmdrels_weight_analyze/0.2_0.7_0.1/au_2194.xlsx","au_2194")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HYPERLINK("./new_k5/query_cmdrels_weight_analyze/0.2_0.7_0.1/au_221962.xlsx","au_221962")</f>
        <v>au_221962</v>
      </c>
      <c r="B63">
        <v>0</v>
      </c>
      <c r="C63">
        <v>0</v>
      </c>
      <c r="D63">
        <v>5.5555555555555552E-2</v>
      </c>
      <c r="E63">
        <v>5.5555555555555552E-2</v>
      </c>
      <c r="F63">
        <v>0.1388888888888889</v>
      </c>
      <c r="G63">
        <v>0.23888888888888879</v>
      </c>
    </row>
    <row r="64" spans="1:7" x14ac:dyDescent="0.15">
      <c r="A64" t="str">
        <f>HYPERLINK("./new_k5/query_cmdrels_weight_analyze/0.2_0.7_0.1/au_22608.xlsx","au_22608")</f>
        <v>au_22608</v>
      </c>
      <c r="B64">
        <v>0.33333333333333331</v>
      </c>
      <c r="C64">
        <v>0</v>
      </c>
      <c r="D64">
        <v>0.33333333333333331</v>
      </c>
      <c r="E64">
        <v>0.16666666666666671</v>
      </c>
      <c r="F64">
        <v>0.33333333333333331</v>
      </c>
      <c r="G64">
        <v>0.33333333333333331</v>
      </c>
    </row>
    <row r="65" spans="1:7" x14ac:dyDescent="0.15">
      <c r="A65" t="str">
        <f>HYPERLINK("./new_k5/query_cmdrels_weight_analyze/0.2_0.7_0.1/au_230698.xlsx","au_230698")</f>
        <v>au_230698</v>
      </c>
      <c r="B65">
        <v>0.125</v>
      </c>
      <c r="C65">
        <v>0.125</v>
      </c>
      <c r="D65">
        <v>0.25</v>
      </c>
      <c r="E65">
        <v>0.20833333333333329</v>
      </c>
      <c r="F65">
        <v>0.32500000000000001</v>
      </c>
      <c r="G65">
        <v>0.28333333333333333</v>
      </c>
    </row>
    <row r="66" spans="1:7" x14ac:dyDescent="0.15">
      <c r="A66" t="str">
        <f>HYPERLINK("./new_k5/query_cmdrels_weight_analyze/0.2_0.7_0.1/au_232442.xlsx","au_232442")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HYPERLINK("./new_k5/query_cmdrels_weight_analyze/0.2_0.7_0.1/au_233378.xlsx","au_233378")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HYPERLINK("./new_k5/query_cmdrels_weight_analyze/0.2_0.7_0.1/au_24027.xlsx","au_24027")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HYPERLINK("./new_k5/query_cmdrels_weight_analyze/0.2_0.7_0.1/au_246647.xlsx","au_246647")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HYPERLINK("./new_k5/query_cmdrels_weight_analyze/0.2_0.7_0.1/au_254424.xlsx","au_254424")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HYPERLINK("./new_k5/query_cmdrels_weight_analyze/0.2_0.7_0.1/au_255890.xlsx","au_255890")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HYPERLINK("./new_k5/query_cmdrels_weight_analyze/0.2_0.7_0.1/au_257248.xlsx","au_257248")</f>
        <v>au_257248</v>
      </c>
      <c r="B72">
        <v>0</v>
      </c>
      <c r="C72">
        <v>0</v>
      </c>
      <c r="D72">
        <v>0.16666666666666671</v>
      </c>
      <c r="E72">
        <v>4.7619047619047623E-2</v>
      </c>
      <c r="F72">
        <v>0.25238095238095237</v>
      </c>
      <c r="G72">
        <v>0.119047619047619</v>
      </c>
    </row>
    <row r="73" spans="1:7" x14ac:dyDescent="0.15">
      <c r="A73" t="str">
        <f>HYPERLINK("./new_k5/query_cmdrels_weight_analyze/0.2_0.7_0.1/au_259354.xlsx","au_259354")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0.42857142857142849</v>
      </c>
    </row>
    <row r="74" spans="1:7" x14ac:dyDescent="0.15">
      <c r="A74" t="str">
        <f>HYPERLINK("./new_k5/query_cmdrels_weight_analyze/0.2_0.7_0.1/au_263378.xlsx","au_263378")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0.47499999999999998</v>
      </c>
    </row>
    <row r="75" spans="1:7" x14ac:dyDescent="0.15">
      <c r="A75" t="str">
        <f>HYPERLINK("./new_k5/query_cmdrels_weight_analyze/0.2_0.7_0.1/au_264215.xlsx","au_264215")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HYPERLINK("./new_k5/query_cmdrels_weight_analyze/0.2_0.7_0.1/au_265176.xlsx","au_265176")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HYPERLINK("./new_k5/query_cmdrels_weight_analyze/0.2_0.7_0.1/au_275704.xlsx","au_275704")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HYPERLINK("./new_k5/query_cmdrels_weight_analyze/0.2_0.7_0.1/au_276669.xlsx","au_276669")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HYPERLINK("./new_k5/query_cmdrels_weight_analyze/0.2_0.7_0.1/au_277565.xlsx","au_277565")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HYPERLINK("./new_k5/query_cmdrels_weight_analyze/0.2_0.7_0.1/au_278403.xlsx","au_278403")</f>
        <v>au_278403</v>
      </c>
      <c r="B80">
        <v>0</v>
      </c>
      <c r="C80">
        <v>0.25</v>
      </c>
      <c r="D80">
        <v>8.3333333333333329E-2</v>
      </c>
      <c r="E80">
        <v>0.25</v>
      </c>
      <c r="F80">
        <v>0.20833333333333329</v>
      </c>
      <c r="G80">
        <v>0.375</v>
      </c>
    </row>
    <row r="81" spans="1:7" x14ac:dyDescent="0.15">
      <c r="A81" t="str">
        <f>HYPERLINK("./new_k5/query_cmdrels_weight_analyze/0.2_0.7_0.1/au_28039.xlsx","au_28039")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HYPERLINK("./new_k5/query_cmdrels_weight_analyze/0.2_0.7_0.1/au_281509.xlsx","au_281509")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HYPERLINK("./new_k5/query_cmdrels_weight_analyze/0.2_0.7_0.1/au_282806.xlsx","au_282806")</f>
        <v>au_282806</v>
      </c>
      <c r="B83">
        <v>0</v>
      </c>
      <c r="C83">
        <v>0.33333333333333331</v>
      </c>
      <c r="D83">
        <v>0.38888888888888878</v>
      </c>
      <c r="E83">
        <v>0.55555555555555547</v>
      </c>
      <c r="F83">
        <v>0.38888888888888878</v>
      </c>
      <c r="G83">
        <v>0.80555555555555547</v>
      </c>
    </row>
    <row r="84" spans="1:7" x14ac:dyDescent="0.15">
      <c r="A84" t="str">
        <f>HYPERLINK("./new_k5/query_cmdrels_weight_analyze/0.2_0.7_0.1/au_283559.xlsx","au_283559")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HYPERLINK("./new_k5/query_cmdrels_weight_analyze/0.2_0.7_0.1/au_285539.xlsx","au_285539")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HYPERLINK("./new_k5/query_cmdrels_weight_analyze/0.2_0.7_0.1/au_287532.xlsx","au_287532")</f>
        <v>au_287532</v>
      </c>
      <c r="B86">
        <v>0</v>
      </c>
      <c r="C86">
        <v>0.25</v>
      </c>
      <c r="D86">
        <v>0</v>
      </c>
      <c r="E86">
        <v>0.41666666666666657</v>
      </c>
      <c r="F86">
        <v>0</v>
      </c>
      <c r="G86">
        <v>0.41666666666666657</v>
      </c>
    </row>
    <row r="87" spans="1:7" x14ac:dyDescent="0.15">
      <c r="A87" t="str">
        <f>HYPERLINK("./new_k5/query_cmdrels_weight_analyze/0.2_0.7_0.1/au_294257.xlsx","au_294257")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HYPERLINK("./new_k5/query_cmdrels_weight_analyze/0.2_0.7_0.1/au_296155.xlsx","au_296155")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HYPERLINK("./new_k5/query_cmdrels_weight_analyze/0.2_0.7_0.1/au_299975.xlsx","au_299975")</f>
        <v>au_299975</v>
      </c>
      <c r="B89">
        <v>0.25</v>
      </c>
      <c r="C89">
        <v>0</v>
      </c>
      <c r="D89">
        <v>0.5</v>
      </c>
      <c r="E89">
        <v>8.3333333333333329E-2</v>
      </c>
      <c r="F89">
        <v>0.6875</v>
      </c>
      <c r="G89">
        <v>0.20833333333333329</v>
      </c>
    </row>
    <row r="90" spans="1:7" x14ac:dyDescent="0.15">
      <c r="A90" t="str">
        <f>HYPERLINK("./new_k5/query_cmdrels_weight_analyze/0.2_0.7_0.1/au_301096.xlsx","au_301096")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HYPERLINK("./new_k5/query_cmdrels_weight_analyze/0.2_0.7_0.1/au_303593.xlsx","au_303593")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HYPERLINK("./new_k5/query_cmdrels_weight_analyze/0.2_0.7_0.1/au_303849.xlsx","au_303849")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HYPERLINK("./new_k5/query_cmdrels_weight_analyze/0.2_0.7_0.1/au_307541.xlsx","au_307541")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HYPERLINK("./new_k5/query_cmdrels_weight_analyze/0.2_0.7_0.1/au_307688.xlsx","au_307688")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HYPERLINK("./new_k5/query_cmdrels_weight_analyze/0.2_0.7_0.1/au_309047.xlsx","au_309047")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HYPERLINK("./new_k5/query_cmdrels_weight_analyze/0.2_0.7_0.1/au_311558.xlsx","au_311558")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0.41666666666666657</v>
      </c>
    </row>
    <row r="97" spans="1:7" x14ac:dyDescent="0.15">
      <c r="A97" t="str">
        <f>HYPERLINK("./new_k5/query_cmdrels_weight_analyze/0.2_0.7_0.1/au_318973.xlsx","au_318973")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HYPERLINK("./new_k5/query_cmdrels_weight_analyze/0.2_0.7_0.1/au_3205.xlsx","au_3205")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HYPERLINK("./new_k5/query_cmdrels_weight_analyze/0.2_0.7_0.1/au_323131.xlsx","au_323131")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HYPERLINK("./new_k5/query_cmdrels_weight_analyze/0.2_0.7_0.1/au_323392.xlsx","au_323392")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HYPERLINK("./new_k5/query_cmdrels_weight_analyze/0.2_0.7_0.1/au_325368.xlsx","au_325368")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HYPERLINK("./new_k5/query_cmdrels_weight_analyze/0.2_0.7_0.1/au_328162.xlsx","au_328162")</f>
        <v>au_328162</v>
      </c>
      <c r="B102">
        <v>0.33333333333333331</v>
      </c>
      <c r="C102">
        <v>0.33333333333333331</v>
      </c>
      <c r="D102">
        <v>1</v>
      </c>
      <c r="E102">
        <v>0.33333333333333331</v>
      </c>
      <c r="F102">
        <v>1</v>
      </c>
      <c r="G102">
        <v>0.5</v>
      </c>
    </row>
    <row r="103" spans="1:7" x14ac:dyDescent="0.15">
      <c r="A103" t="str">
        <f>HYPERLINK("./new_k5/query_cmdrels_weight_analyze/0.2_0.7_0.1/au_330148.xlsx","au_330148")</f>
        <v>au_330148</v>
      </c>
      <c r="B103">
        <v>0</v>
      </c>
      <c r="C103">
        <v>0.2</v>
      </c>
      <c r="D103">
        <v>0.23333333333333331</v>
      </c>
      <c r="E103">
        <v>0.33333333333333331</v>
      </c>
      <c r="F103">
        <v>0.54333333333333333</v>
      </c>
      <c r="G103">
        <v>0.33333333333333331</v>
      </c>
    </row>
    <row r="104" spans="1:7" x14ac:dyDescent="0.15">
      <c r="A104" t="str">
        <f>HYPERLINK("./new_k5/query_cmdrels_weight_analyze/0.2_0.7_0.1/au_332315.xlsx","au_332315")</f>
        <v>au_332315</v>
      </c>
      <c r="B104">
        <v>0.33333333333333331</v>
      </c>
      <c r="C104">
        <v>0.33333333333333331</v>
      </c>
      <c r="D104">
        <v>0.55555555555555547</v>
      </c>
      <c r="E104">
        <v>0.33333333333333331</v>
      </c>
      <c r="F104">
        <v>0.75555555555555554</v>
      </c>
      <c r="G104">
        <v>0.33333333333333331</v>
      </c>
    </row>
    <row r="105" spans="1:7" x14ac:dyDescent="0.15">
      <c r="A105" t="str">
        <f>HYPERLINK("./new_k5/query_cmdrels_weight_analyze/0.2_0.7_0.1/au_334081.xlsx","au_334081")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HYPERLINK("./new_k5/query_cmdrels_weight_analyze/0.2_0.7_0.1/au_34077.xlsx","au_34077")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0.5</v>
      </c>
      <c r="F106">
        <v>0.33333333333333331</v>
      </c>
      <c r="G106">
        <v>0.6333333333333333</v>
      </c>
    </row>
    <row r="107" spans="1:7" x14ac:dyDescent="0.15">
      <c r="A107" t="str">
        <f>HYPERLINK("./new_k5/query_cmdrels_weight_analyze/0.2_0.7_0.1/au_341428.xlsx","au_341428")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HYPERLINK("./new_k5/query_cmdrels_weight_analyze/0.2_0.7_0.1/au_341584.xlsx","au_341584")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HYPERLINK("./new_k5/query_cmdrels_weight_analyze/0.2_0.7_0.1/au_346864.xlsx","au_346864")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0.14285714285714279</v>
      </c>
      <c r="F109">
        <v>0.23809523809523811</v>
      </c>
      <c r="G109">
        <v>0.2142857142857143</v>
      </c>
    </row>
    <row r="110" spans="1:7" x14ac:dyDescent="0.15">
      <c r="A110" t="str">
        <f>HYPERLINK("./new_k5/query_cmdrels_weight_analyze/0.2_0.7_0.1/au_351765.xlsx","au_351765")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0.5</v>
      </c>
    </row>
    <row r="111" spans="1:7" x14ac:dyDescent="0.15">
      <c r="A111" t="str">
        <f>HYPERLINK("./new_k5/query_cmdrels_weight_analyze/0.2_0.7_0.1/au_35922.xlsx","au_35922")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HYPERLINK("./new_k5/query_cmdrels_weight_analyze/0.2_0.7_0.1/au_359856.xlsx","au_359856")</f>
        <v>au_359856</v>
      </c>
      <c r="B112">
        <v>0.25</v>
      </c>
      <c r="C112">
        <v>0.25</v>
      </c>
      <c r="D112">
        <v>0.75</v>
      </c>
      <c r="E112">
        <v>0.41666666666666657</v>
      </c>
      <c r="F112">
        <v>0.95</v>
      </c>
      <c r="G112">
        <v>0.41666666666666657</v>
      </c>
    </row>
    <row r="113" spans="1:7" x14ac:dyDescent="0.15">
      <c r="A113" t="str">
        <f>HYPERLINK("./new_k5/query_cmdrels_weight_analyze/0.2_0.7_0.1/au_360423.xlsx","au_360423")</f>
        <v>au_360423</v>
      </c>
      <c r="B113">
        <v>0</v>
      </c>
      <c r="C113">
        <v>0</v>
      </c>
      <c r="D113">
        <v>0</v>
      </c>
      <c r="E113">
        <v>0.25</v>
      </c>
      <c r="F113">
        <v>0</v>
      </c>
      <c r="G113">
        <v>0.25</v>
      </c>
    </row>
    <row r="114" spans="1:7" x14ac:dyDescent="0.15">
      <c r="A114" t="str">
        <f>HYPERLINK("./new_k5/query_cmdrels_weight_analyze/0.2_0.7_0.1/au_36287.xlsx","au_36287")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HYPERLINK("./new_k5/query_cmdrels_weight_analyze/0.2_0.7_0.1/au_366742.xlsx","au_366742")</f>
        <v>au_366742</v>
      </c>
      <c r="B115">
        <v>0</v>
      </c>
      <c r="C115">
        <v>0</v>
      </c>
      <c r="D115">
        <v>0</v>
      </c>
      <c r="E115">
        <v>0.125</v>
      </c>
      <c r="F115">
        <v>0</v>
      </c>
      <c r="G115">
        <v>0.25</v>
      </c>
    </row>
    <row r="116" spans="1:7" x14ac:dyDescent="0.15">
      <c r="A116" t="str">
        <f>HYPERLINK("./new_k5/query_cmdrels_weight_analyze/0.2_0.7_0.1/au_377937.xlsx","au_377937")</f>
        <v>au_377937</v>
      </c>
      <c r="B116">
        <v>0.25</v>
      </c>
      <c r="C116">
        <v>0.25</v>
      </c>
      <c r="D116">
        <v>0.5</v>
      </c>
      <c r="E116">
        <v>0.5</v>
      </c>
      <c r="F116">
        <v>0.5</v>
      </c>
      <c r="G116">
        <v>0.6875</v>
      </c>
    </row>
    <row r="117" spans="1:7" x14ac:dyDescent="0.15">
      <c r="A117" t="str">
        <f>HYPERLINK("./new_k5/query_cmdrels_weight_analyze/0.2_0.7_0.1/au_383997.xlsx","au_383997")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0.2857142857142857</v>
      </c>
    </row>
    <row r="118" spans="1:7" x14ac:dyDescent="0.15">
      <c r="A118" t="str">
        <f>HYPERLINK("./new_k5/query_cmdrels_weight_analyze/0.2_0.7_0.1/au_3883.xlsx","au_3883")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0.35</v>
      </c>
    </row>
    <row r="119" spans="1:7" x14ac:dyDescent="0.15">
      <c r="A119" t="str">
        <f>HYPERLINK("./new_k5/query_cmdrels_weight_analyze/0.2_0.7_0.1/au_396883.xlsx","au_396883")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HYPERLINK("./new_k5/query_cmdrels_weight_analyze/0.2_0.7_0.1/au_39760.xlsx","au_39760")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HYPERLINK("./new_k5/query_cmdrels_weight_analyze/0.2_0.7_0.1/au_398818.xlsx","au_398818")</f>
        <v>au_398818</v>
      </c>
      <c r="B121">
        <v>0.5</v>
      </c>
      <c r="C121">
        <v>0.5</v>
      </c>
      <c r="D121">
        <v>0.83333333333333326</v>
      </c>
      <c r="E121">
        <v>1</v>
      </c>
      <c r="F121">
        <v>0.83333333333333326</v>
      </c>
      <c r="G121">
        <v>1</v>
      </c>
    </row>
    <row r="122" spans="1:7" x14ac:dyDescent="0.15">
      <c r="A122" t="str">
        <f>HYPERLINK("./new_k5/query_cmdrels_weight_analyze/0.2_0.7_0.1/au_400807.xlsx","au_400807")</f>
        <v>au_400807</v>
      </c>
      <c r="B122">
        <v>0</v>
      </c>
      <c r="C122">
        <v>0.33333333333333331</v>
      </c>
      <c r="D122">
        <v>0.16666666666666671</v>
      </c>
      <c r="E122">
        <v>0.55555555555555547</v>
      </c>
      <c r="F122">
        <v>0.16666666666666671</v>
      </c>
      <c r="G122">
        <v>0.75555555555555554</v>
      </c>
    </row>
    <row r="123" spans="1:7" x14ac:dyDescent="0.15">
      <c r="A123" t="str">
        <f>HYPERLINK("./new_k5/query_cmdrels_weight_analyze/0.2_0.7_0.1/au_408611.xlsx","au_408611")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HYPERLINK("./new_k5/query_cmdrels_weight_analyze/0.2_0.7_0.1/au_414737.xlsx","au_414737")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HYPERLINK("./new_k5/query_cmdrels_weight_analyze/0.2_0.7_0.1/au_420722.xlsx","au_420722")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HYPERLINK("./new_k5/query_cmdrels_weight_analyze/0.2_0.7_0.1/au_423942.xlsx","au_423942")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HYPERLINK("./new_k5/query_cmdrels_weight_analyze/0.2_0.7_0.1/au_430382.xlsx","au_430382")</f>
        <v>au_430382</v>
      </c>
      <c r="B127">
        <v>0</v>
      </c>
      <c r="C127">
        <v>0</v>
      </c>
      <c r="D127">
        <v>0.29166666666666657</v>
      </c>
      <c r="E127">
        <v>0.29166666666666657</v>
      </c>
      <c r="F127">
        <v>0.29166666666666657</v>
      </c>
      <c r="G127">
        <v>0.29166666666666657</v>
      </c>
    </row>
    <row r="128" spans="1:7" x14ac:dyDescent="0.15">
      <c r="A128" t="str">
        <f>HYPERLINK("./new_k5/query_cmdrels_weight_analyze/0.2_0.7_0.1/au_432836.xlsx","au_432836")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0.14285714285714279</v>
      </c>
      <c r="F128">
        <v>0.2142857142857143</v>
      </c>
      <c r="G128">
        <v>0.14285714285714279</v>
      </c>
    </row>
    <row r="129" spans="1:7" x14ac:dyDescent="0.15">
      <c r="A129" t="str">
        <f>HYPERLINK("./new_k5/query_cmdrels_weight_analyze/0.2_0.7_0.1/au_440326.xlsx","au_440326")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HYPERLINK("./new_k5/query_cmdrels_weight_analyze/0.2_0.7_0.1/au_442914.xlsx","au_442914")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HYPERLINK("./new_k5/query_cmdrels_weight_analyze/0.2_0.7_0.1/au_443227.xlsx","au_443227")</f>
        <v>au_443227</v>
      </c>
      <c r="B131">
        <v>0.5</v>
      </c>
      <c r="C131">
        <v>0</v>
      </c>
      <c r="D131">
        <v>0.5</v>
      </c>
      <c r="E131">
        <v>0</v>
      </c>
      <c r="F131">
        <v>0.5</v>
      </c>
      <c r="G131">
        <v>0.1</v>
      </c>
    </row>
    <row r="132" spans="1:7" x14ac:dyDescent="0.15">
      <c r="A132" t="str">
        <f>HYPERLINK("./new_k5/query_cmdrels_weight_analyze/0.2_0.7_0.1/au_44534.xlsx","au_44534")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HYPERLINK("./new_k5/query_cmdrels_weight_analyze/0.2_0.7_0.1/au_451805.xlsx","au_451805")</f>
        <v>au_451805</v>
      </c>
      <c r="B133">
        <v>0.33333333333333331</v>
      </c>
      <c r="C133">
        <v>0.33333333333333331</v>
      </c>
      <c r="D133">
        <v>0.33333333333333331</v>
      </c>
      <c r="E133">
        <v>0.33333333333333331</v>
      </c>
      <c r="F133">
        <v>0.33333333333333331</v>
      </c>
      <c r="G133">
        <v>0.33333333333333331</v>
      </c>
    </row>
    <row r="134" spans="1:7" x14ac:dyDescent="0.15">
      <c r="A134" t="str">
        <f>HYPERLINK("./new_k5/query_cmdrels_weight_analyze/0.2_0.7_0.1/au_464264.xlsx","au_464264")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0.16666666666666671</v>
      </c>
    </row>
    <row r="135" spans="1:7" x14ac:dyDescent="0.15">
      <c r="A135" t="str">
        <f>HYPERLINK("./new_k5/query_cmdrels_weight_analyze/0.2_0.7_0.1/au_468808.xlsx","au_468808")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HYPERLINK("./new_k5/query_cmdrels_weight_analyze/0.2_0.7_0.1/au_469143.xlsx","au_469143")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HYPERLINK("./new_k5/query_cmdrels_weight_analyze/0.2_0.7_0.1/au_470237.xlsx","au_470237")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HYPERLINK("./new_k5/query_cmdrels_weight_analyze/0.2_0.7_0.1/au_473037.xlsx","au_473037")</f>
        <v>au_473037</v>
      </c>
      <c r="B138">
        <v>0.5</v>
      </c>
      <c r="C138">
        <v>0.5</v>
      </c>
      <c r="D138">
        <v>0.83333333333333326</v>
      </c>
      <c r="E138">
        <v>0.5</v>
      </c>
      <c r="F138">
        <v>0.83333333333333326</v>
      </c>
      <c r="G138">
        <v>0.5</v>
      </c>
    </row>
    <row r="139" spans="1:7" x14ac:dyDescent="0.15">
      <c r="A139" t="str">
        <f>HYPERLINK("./new_k5/query_cmdrels_weight_analyze/0.2_0.7_0.1/au_48362.xlsx","au_48362")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HYPERLINK("./new_k5/query_cmdrels_weight_analyze/0.2_0.7_0.1/au_488435.xlsx","au_488435")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HYPERLINK("./new_k5/query_cmdrels_weight_analyze/0.2_0.7_0.1/au_493826.xlsx","au_493826")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0.23809523809523811</v>
      </c>
      <c r="F141">
        <v>0.14285714285714279</v>
      </c>
      <c r="G141">
        <v>0.23809523809523811</v>
      </c>
    </row>
    <row r="142" spans="1:7" x14ac:dyDescent="0.15">
      <c r="A142" t="str">
        <f>HYPERLINK("./new_k5/query_cmdrels_weight_analyze/0.2_0.7_0.1/au_502110.xlsx","au_502110")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HYPERLINK("./new_k5/query_cmdrels_weight_analyze/0.2_0.7_0.1/au_50344.xlsx","au_50344")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HYPERLINK("./new_k5/query_cmdrels_weight_analyze/0.2_0.7_0.1/au_511467.xlsx","au_511467")</f>
        <v>au_511467</v>
      </c>
      <c r="B144">
        <v>0</v>
      </c>
      <c r="C144">
        <v>0.16666666666666671</v>
      </c>
      <c r="D144">
        <v>0.19444444444444439</v>
      </c>
      <c r="E144">
        <v>0.27777777777777768</v>
      </c>
      <c r="F144">
        <v>0.19444444444444439</v>
      </c>
      <c r="G144">
        <v>0.27777777777777768</v>
      </c>
    </row>
    <row r="145" spans="1:7" x14ac:dyDescent="0.15">
      <c r="A145" t="str">
        <f>HYPERLINK("./new_k5/query_cmdrels_weight_analyze/0.2_0.7_0.1/au_513046.xlsx","au_513046")</f>
        <v>au_513046</v>
      </c>
      <c r="B145">
        <v>0.25</v>
      </c>
      <c r="C145">
        <v>0</v>
      </c>
      <c r="D145">
        <v>0.5</v>
      </c>
      <c r="E145">
        <v>8.3333333333333329E-2</v>
      </c>
      <c r="F145">
        <v>0.5</v>
      </c>
      <c r="G145">
        <v>0.35833333333333328</v>
      </c>
    </row>
    <row r="146" spans="1:7" x14ac:dyDescent="0.15">
      <c r="A146" t="str">
        <f>HYPERLINK("./new_k5/query_cmdrels_weight_analyze/0.2_0.7_0.1/au_517354.xlsx","au_517354")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0.34523809523809518</v>
      </c>
    </row>
    <row r="147" spans="1:7" x14ac:dyDescent="0.15">
      <c r="A147" t="str">
        <f>HYPERLINK("./new_k5/query_cmdrels_weight_analyze/0.2_0.7_0.1/au_522431.xlsx","au_522431")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0.3833333333333333</v>
      </c>
    </row>
    <row r="148" spans="1:7" x14ac:dyDescent="0.15">
      <c r="A148" t="str">
        <f>HYPERLINK("./new_k5/query_cmdrels_weight_analyze/0.2_0.7_0.1/au_52773.xlsx","au_52773")</f>
        <v>au_52773</v>
      </c>
      <c r="B148">
        <v>0</v>
      </c>
      <c r="C148">
        <v>0</v>
      </c>
      <c r="D148">
        <v>0.23333333333333331</v>
      </c>
      <c r="E148">
        <v>6.6666666666666666E-2</v>
      </c>
      <c r="F148">
        <v>0.23333333333333331</v>
      </c>
      <c r="G148">
        <v>6.6666666666666666E-2</v>
      </c>
    </row>
    <row r="149" spans="1:7" x14ac:dyDescent="0.15">
      <c r="A149" t="str">
        <f>HYPERLINK("./new_k5/query_cmdrels_weight_analyze/0.2_0.7_0.1/au_528411.xlsx","au_528411")</f>
        <v>au_528411</v>
      </c>
      <c r="B149">
        <v>0</v>
      </c>
      <c r="C149">
        <v>0</v>
      </c>
      <c r="D149">
        <v>0</v>
      </c>
      <c r="E149">
        <v>0.16666666666666671</v>
      </c>
      <c r="F149">
        <v>0</v>
      </c>
      <c r="G149">
        <v>0.16666666666666671</v>
      </c>
    </row>
    <row r="150" spans="1:7" x14ac:dyDescent="0.15">
      <c r="A150" t="str">
        <f>HYPERLINK("./new_k5/query_cmdrels_weight_analyze/0.2_0.7_0.1/au_53263.xlsx","au_53263")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1</v>
      </c>
    </row>
    <row r="151" spans="1:7" x14ac:dyDescent="0.15">
      <c r="A151" t="str">
        <f>HYPERLINK("./new_k5/query_cmdrels_weight_analyze/0.2_0.7_0.1/au_53444.xlsx","au_53444")</f>
        <v>au_53444</v>
      </c>
      <c r="B151">
        <v>0.5</v>
      </c>
      <c r="C151">
        <v>0</v>
      </c>
      <c r="D151">
        <v>0.5</v>
      </c>
      <c r="E151">
        <v>0.16666666666666671</v>
      </c>
      <c r="F151">
        <v>0.5</v>
      </c>
      <c r="G151">
        <v>0.16666666666666671</v>
      </c>
    </row>
    <row r="152" spans="1:7" x14ac:dyDescent="0.15">
      <c r="A152" t="str">
        <f>HYPERLINK("./new_k5/query_cmdrels_weight_analyze/0.2_0.7_0.1/au_538208.xlsx","au_538208")</f>
        <v>au_538208</v>
      </c>
      <c r="B152">
        <v>0.125</v>
      </c>
      <c r="C152">
        <v>0.125</v>
      </c>
      <c r="D152">
        <v>0.375</v>
      </c>
      <c r="E152">
        <v>0.20833333333333329</v>
      </c>
      <c r="F152">
        <v>0.5</v>
      </c>
      <c r="G152">
        <v>0.40208333333333329</v>
      </c>
    </row>
    <row r="153" spans="1:7" x14ac:dyDescent="0.15">
      <c r="A153" t="str">
        <f>HYPERLINK("./new_k5/query_cmdrels_weight_analyze/0.2_0.7_0.1/au_53822.xlsx","au_53822")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HYPERLINK("./new_k5/query_cmdrels_weight_analyze/0.2_0.7_0.1/au_539243.xlsx","au_539243")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</v>
      </c>
    </row>
    <row r="155" spans="1:7" x14ac:dyDescent="0.15">
      <c r="A155" t="str">
        <f>HYPERLINK("./new_k5/query_cmdrels_weight_analyze/0.2_0.7_0.1/au_558280.xlsx","au_558280")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HYPERLINK("./new_k5/query_cmdrels_weight_analyze/0.2_0.7_0.1/au_558669.xlsx","au_558669")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HYPERLINK("./new_k5/query_cmdrels_weight_analyze/0.2_0.7_0.1/au_55868.xlsx","au_55868")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HYPERLINK("./new_k5/query_cmdrels_weight_analyze/0.2_0.7_0.1/au_561.xlsx","au_561")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0.65</v>
      </c>
    </row>
    <row r="159" spans="1:7" x14ac:dyDescent="0.15">
      <c r="A159" t="str">
        <f>HYPERLINK("./new_k5/query_cmdrels_weight_analyze/0.2_0.7_0.1/au_564567.xlsx","au_564567")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HYPERLINK("./new_k5/query_cmdrels_weight_analyze/0.2_0.7_0.1/au_57994.xlsx","au_57994")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0.23809523809523811</v>
      </c>
      <c r="F160">
        <v>0.5714285714285714</v>
      </c>
      <c r="G160">
        <v>0.23809523809523811</v>
      </c>
    </row>
    <row r="161" spans="1:7" x14ac:dyDescent="0.15">
      <c r="A161" t="str">
        <f>HYPERLINK("./new_k5/query_cmdrels_weight_analyze/0.2_0.7_0.1/au_589210.xlsx","au_589210")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0.35</v>
      </c>
    </row>
    <row r="162" spans="1:7" x14ac:dyDescent="0.15">
      <c r="A162" t="str">
        <f>HYPERLINK("./new_k5/query_cmdrels_weight_analyze/0.2_0.7_0.1/au_5911.xlsx","au_5911")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HYPERLINK("./new_k5/query_cmdrels_weight_analyze/0.2_0.7_0.1/au_59356.xlsx","au_59356")</f>
        <v>au_59356</v>
      </c>
      <c r="B163">
        <v>0</v>
      </c>
      <c r="C163">
        <v>0</v>
      </c>
      <c r="D163">
        <v>0.16666666666666671</v>
      </c>
      <c r="E163">
        <v>0</v>
      </c>
      <c r="F163">
        <v>0.16666666666666671</v>
      </c>
      <c r="G163">
        <v>0</v>
      </c>
    </row>
    <row r="164" spans="1:7" x14ac:dyDescent="0.15">
      <c r="A164" t="str">
        <f>HYPERLINK("./new_k5/query_cmdrels_weight_analyze/0.2_0.7_0.1/au_609850.xlsx","au_609850")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HYPERLINK("./new_k5/query_cmdrels_weight_analyze/0.2_0.7_0.1/au_61408.xlsx","au_61408")</f>
        <v>au_61408</v>
      </c>
      <c r="B165">
        <v>0</v>
      </c>
      <c r="C165">
        <v>0.33333333333333331</v>
      </c>
      <c r="D165">
        <v>0.16666666666666671</v>
      </c>
      <c r="E165">
        <v>0.33333333333333331</v>
      </c>
      <c r="F165">
        <v>0.16666666666666671</v>
      </c>
      <c r="G165">
        <v>0.33333333333333331</v>
      </c>
    </row>
    <row r="166" spans="1:7" x14ac:dyDescent="0.15">
      <c r="A166" t="str">
        <f>HYPERLINK("./new_k5/query_cmdrels_weight_analyze/0.2_0.7_0.1/au_617850.xlsx","au_617850")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HYPERLINK("./new_k5/query_cmdrels_weight_analyze/0.2_0.7_0.1/au_62073.xlsx","au_62073")</f>
        <v>au_62073</v>
      </c>
      <c r="B167">
        <v>0</v>
      </c>
      <c r="C167">
        <v>0.2</v>
      </c>
      <c r="D167">
        <v>0.23333333333333331</v>
      </c>
      <c r="E167">
        <v>0.33333333333333331</v>
      </c>
      <c r="F167">
        <v>0.23333333333333331</v>
      </c>
      <c r="G167">
        <v>0.45333333333333331</v>
      </c>
    </row>
    <row r="168" spans="1:7" x14ac:dyDescent="0.15">
      <c r="A168" t="str">
        <f>HYPERLINK("./new_k5/query_cmdrels_weight_analyze/0.2_0.7_0.1/au_620930.xlsx","au_620930")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0.45333333333333331</v>
      </c>
    </row>
    <row r="169" spans="1:7" x14ac:dyDescent="0.15">
      <c r="A169" t="str">
        <f>HYPERLINK("./new_k5/query_cmdrels_weight_analyze/0.2_0.7_0.1/au_62492.xlsx","au_62492")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HYPERLINK("./new_k5/query_cmdrels_weight_analyze/0.2_0.7_0.1/au_626078.xlsx","au_626078")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HYPERLINK("./new_k5/query_cmdrels_weight_analyze/0.2_0.7_0.1/au_636944.xlsx","au_636944")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HYPERLINK("./new_k5/query_cmdrels_weight_analyze/0.2_0.7_0.1/au_648603.xlsx","au_648603")</f>
        <v>au_648603</v>
      </c>
      <c r="B172">
        <v>0.25</v>
      </c>
      <c r="C172">
        <v>0.25</v>
      </c>
      <c r="D172">
        <v>0.25</v>
      </c>
      <c r="E172">
        <v>0.25</v>
      </c>
      <c r="F172">
        <v>0.25</v>
      </c>
      <c r="G172">
        <v>0.35</v>
      </c>
    </row>
    <row r="173" spans="1:7" x14ac:dyDescent="0.15">
      <c r="A173" t="str">
        <f>HYPERLINK("./new_k5/query_cmdrels_weight_analyze/0.2_0.7_0.1/au_65331.xlsx","au_65331")</f>
        <v>au_65331</v>
      </c>
      <c r="B173">
        <v>0</v>
      </c>
      <c r="C173">
        <v>0.16666666666666671</v>
      </c>
      <c r="D173">
        <v>8.3333333333333329E-2</v>
      </c>
      <c r="E173">
        <v>0.27777777777777768</v>
      </c>
      <c r="F173">
        <v>0.16666666666666671</v>
      </c>
      <c r="G173">
        <v>0.27777777777777768</v>
      </c>
    </row>
    <row r="174" spans="1:7" x14ac:dyDescent="0.15">
      <c r="A174" t="str">
        <f>HYPERLINK("./new_k5/query_cmdrels_weight_analyze/0.2_0.7_0.1/au_66000.xlsx","au_66000")</f>
        <v>au_66000</v>
      </c>
      <c r="B174">
        <v>0</v>
      </c>
      <c r="C174">
        <v>0.2</v>
      </c>
      <c r="D174">
        <v>0</v>
      </c>
      <c r="E174">
        <v>0.2</v>
      </c>
      <c r="F174">
        <v>0</v>
      </c>
      <c r="G174">
        <v>0.42</v>
      </c>
    </row>
    <row r="175" spans="1:7" x14ac:dyDescent="0.15">
      <c r="A175" t="str">
        <f>HYPERLINK("./new_k5/query_cmdrels_weight_analyze/0.2_0.7_0.1/au_660846.xlsx","au_660846")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HYPERLINK("./new_k5/query_cmdrels_weight_analyze/0.2_0.7_0.1/au_662935.xlsx","au_662935")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0.34375</v>
      </c>
    </row>
    <row r="177" spans="1:7" x14ac:dyDescent="0.15">
      <c r="A177" t="str">
        <f>HYPERLINK("./new_k5/query_cmdrels_weight_analyze/0.2_0.7_0.1/au_67663.xlsx","au_67663")</f>
        <v>au_67663</v>
      </c>
      <c r="B177">
        <v>0</v>
      </c>
      <c r="C177">
        <v>0.25</v>
      </c>
      <c r="D177">
        <v>0.29166666666666657</v>
      </c>
      <c r="E177">
        <v>0.75</v>
      </c>
      <c r="F177">
        <v>0.29166666666666657</v>
      </c>
      <c r="G177">
        <v>0.75</v>
      </c>
    </row>
    <row r="178" spans="1:7" x14ac:dyDescent="0.15">
      <c r="A178" t="str">
        <f>HYPERLINK("./new_k5/query_cmdrels_weight_analyze/0.2_0.7_0.1/au_68028.xlsx","au_68028")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0.42857142857142849</v>
      </c>
      <c r="F178">
        <v>0.37142857142857139</v>
      </c>
      <c r="G178">
        <v>0.42857142857142849</v>
      </c>
    </row>
    <row r="179" spans="1:7" x14ac:dyDescent="0.15">
      <c r="A179" t="str">
        <f>HYPERLINK("./new_k5/query_cmdrels_weight_analyze/0.2_0.7_0.1/au_681312.xlsx","au_681312")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0.23809523809523811</v>
      </c>
      <c r="F179">
        <v>0.42857142857142849</v>
      </c>
      <c r="G179">
        <v>0.34523809523809518</v>
      </c>
    </row>
    <row r="180" spans="1:7" x14ac:dyDescent="0.15">
      <c r="A180" t="str">
        <f>HYPERLINK("./new_k5/query_cmdrels_weight_analyze/0.2_0.7_0.1/au_686239.xlsx","au_686239")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HYPERLINK("./new_k5/query_cmdrels_weight_analyze/0.2_0.7_0.1/au_68809.xlsx","au_68809")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0.28333333333333333</v>
      </c>
    </row>
    <row r="182" spans="1:7" x14ac:dyDescent="0.15">
      <c r="A182" t="str">
        <f>HYPERLINK("./new_k5/query_cmdrels_weight_analyze/0.2_0.7_0.1/au_69556.xlsx","au_69556")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HYPERLINK("./new_k5/query_cmdrels_weight_analyze/0.2_0.7_0.1/au_698993.xlsx","au_698993")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HYPERLINK("./new_k5/query_cmdrels_weight_analyze/0.2_0.7_0.1/au_707881.xlsx","au_707881")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HYPERLINK("./new_k5/query_cmdrels_weight_analyze/0.2_0.7_0.1/au_709594.xlsx","au_709594")</f>
        <v>au_709594</v>
      </c>
      <c r="B185">
        <v>0.33333333333333331</v>
      </c>
      <c r="C185">
        <v>0.33333333333333331</v>
      </c>
      <c r="D185">
        <v>0.66666666666666663</v>
      </c>
      <c r="E185">
        <v>0.55555555555555547</v>
      </c>
      <c r="F185">
        <v>0.91666666666666663</v>
      </c>
      <c r="G185">
        <v>0.55555555555555547</v>
      </c>
    </row>
    <row r="186" spans="1:7" x14ac:dyDescent="0.15">
      <c r="A186" t="str">
        <f>HYPERLINK("./new_k5/query_cmdrels_weight_analyze/0.2_0.7_0.1/au_71309.xlsx","au_71309")</f>
        <v>au_71309</v>
      </c>
      <c r="B186">
        <v>0.125</v>
      </c>
      <c r="C186">
        <v>0.125</v>
      </c>
      <c r="D186">
        <v>0.20833333333333329</v>
      </c>
      <c r="E186">
        <v>0.375</v>
      </c>
      <c r="F186">
        <v>0.20833333333333329</v>
      </c>
      <c r="G186">
        <v>0.375</v>
      </c>
    </row>
    <row r="187" spans="1:7" x14ac:dyDescent="0.15">
      <c r="A187" t="str">
        <f>HYPERLINK("./new_k5/query_cmdrels_weight_analyze/0.2_0.7_0.1/au_7138.xlsx","au_7138")</f>
        <v>au_7138</v>
      </c>
      <c r="B187">
        <v>0.25</v>
      </c>
      <c r="C187">
        <v>0</v>
      </c>
      <c r="D187">
        <v>0.75</v>
      </c>
      <c r="E187">
        <v>0</v>
      </c>
      <c r="F187">
        <v>0.75</v>
      </c>
      <c r="G187">
        <v>6.25E-2</v>
      </c>
    </row>
    <row r="188" spans="1:7" x14ac:dyDescent="0.15">
      <c r="A188" t="str">
        <f>HYPERLINK("./new_k5/query_cmdrels_weight_analyze/0.2_0.7_0.1/au_72549.xlsx","au_72549")</f>
        <v>au_72549</v>
      </c>
      <c r="B188">
        <v>0</v>
      </c>
      <c r="C188">
        <v>0.25</v>
      </c>
      <c r="D188">
        <v>0</v>
      </c>
      <c r="E188">
        <v>0.25</v>
      </c>
      <c r="F188">
        <v>0</v>
      </c>
      <c r="G188">
        <v>0.25</v>
      </c>
    </row>
    <row r="189" spans="1:7" x14ac:dyDescent="0.15">
      <c r="A189" t="str">
        <f>HYPERLINK("./new_k5/query_cmdrels_weight_analyze/0.2_0.7_0.1/au_740805.xlsx","au_740805")</f>
        <v>au_740805</v>
      </c>
      <c r="B189">
        <v>0.25</v>
      </c>
      <c r="C189">
        <v>0</v>
      </c>
      <c r="D189">
        <v>0.41666666666666657</v>
      </c>
      <c r="E189">
        <v>8.3333333333333329E-2</v>
      </c>
      <c r="F189">
        <v>0.41666666666666657</v>
      </c>
      <c r="G189">
        <v>0.18333333333333329</v>
      </c>
    </row>
    <row r="190" spans="1:7" x14ac:dyDescent="0.15">
      <c r="A190" t="str">
        <f>HYPERLINK("./new_k5/query_cmdrels_weight_analyze/0.2_0.7_0.1/au_760796.xlsx","au_760796")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HYPERLINK("./new_k5/query_cmdrels_weight_analyze/0.2_0.7_0.1/au_762846.xlsx","au_762846")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0.43333333333333329</v>
      </c>
    </row>
    <row r="192" spans="1:7" x14ac:dyDescent="0.15">
      <c r="A192" t="str">
        <f>HYPERLINK("./new_k5/query_cmdrels_weight_analyze/0.2_0.7_0.1/au_767786.xlsx","au_767786")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0.76</v>
      </c>
    </row>
    <row r="193" spans="1:7" x14ac:dyDescent="0.15">
      <c r="A193" t="str">
        <f>HYPERLINK("./new_k5/query_cmdrels_weight_analyze/0.2_0.7_0.1/au_778906.xlsx","au_778906")</f>
        <v>au_778906</v>
      </c>
      <c r="B193">
        <v>0.2</v>
      </c>
      <c r="C193">
        <v>0.2</v>
      </c>
      <c r="D193">
        <v>0.33333333333333331</v>
      </c>
      <c r="E193">
        <v>0.6</v>
      </c>
      <c r="F193">
        <v>0.33333333333333331</v>
      </c>
      <c r="G193">
        <v>0.6</v>
      </c>
    </row>
    <row r="194" spans="1:7" x14ac:dyDescent="0.15">
      <c r="A194" t="str">
        <f>HYPERLINK("./new_k5/query_cmdrels_weight_analyze/0.2_0.7_0.1/au_818929.xlsx","au_818929")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0.42</v>
      </c>
    </row>
    <row r="195" spans="1:7" x14ac:dyDescent="0.15">
      <c r="A195" t="str">
        <f>HYPERLINK("./new_k5/query_cmdrels_weight_analyze/0.2_0.7_0.1/au_844876.xlsx","au_844876")</f>
        <v>au_844876</v>
      </c>
      <c r="B195">
        <v>0.5</v>
      </c>
      <c r="C195">
        <v>0.5</v>
      </c>
      <c r="D195">
        <v>0.5</v>
      </c>
      <c r="E195">
        <v>0.5</v>
      </c>
      <c r="F195">
        <v>0.5</v>
      </c>
      <c r="G195">
        <v>0.75</v>
      </c>
    </row>
    <row r="196" spans="1:7" x14ac:dyDescent="0.15">
      <c r="A196" t="str">
        <f>HYPERLINK("./new_k5/query_cmdrels_weight_analyze/0.2_0.7_0.1/au_85318.xlsx","au_85318")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0.4</v>
      </c>
    </row>
    <row r="197" spans="1:7" x14ac:dyDescent="0.15">
      <c r="A197" t="str">
        <f>HYPERLINK("./new_k5/query_cmdrels_weight_analyze/0.2_0.7_0.1/au_854332.xlsx","au_854332")</f>
        <v>au_854332</v>
      </c>
      <c r="B197">
        <v>0.33333333333333331</v>
      </c>
      <c r="C197">
        <v>0</v>
      </c>
      <c r="D197">
        <v>0.55555555555555547</v>
      </c>
      <c r="E197">
        <v>0.1111111111111111</v>
      </c>
      <c r="F197">
        <v>0.55555555555555547</v>
      </c>
      <c r="G197">
        <v>0.1111111111111111</v>
      </c>
    </row>
    <row r="198" spans="1:7" x14ac:dyDescent="0.15">
      <c r="A198" t="str">
        <f>HYPERLINK("./new_k5/query_cmdrels_weight_analyze/0.2_0.7_0.1/au_854373.xlsx","au_854373")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HYPERLINK("./new_k5/query_cmdrels_weight_analyze/0.2_0.7_0.1/au_86843.xlsx","au_86843")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HYPERLINK("./new_k5/query_cmdrels_weight_analyze/0.2_0.7_0.1/au_88108.xlsx","au_88108")</f>
        <v>au_88108</v>
      </c>
      <c r="B200">
        <v>0</v>
      </c>
      <c r="C200">
        <v>0</v>
      </c>
      <c r="D200">
        <v>0.1</v>
      </c>
      <c r="E200">
        <v>0</v>
      </c>
      <c r="F200">
        <v>0.1</v>
      </c>
      <c r="G200">
        <v>0</v>
      </c>
    </row>
    <row r="201" spans="1:7" x14ac:dyDescent="0.15">
      <c r="A201" t="str">
        <f>HYPERLINK("./new_k5/query_cmdrels_weight_analyze/0.2_0.7_0.1/au_90214.xlsx","au_90214")</f>
        <v>au_90214</v>
      </c>
      <c r="B201">
        <v>0</v>
      </c>
      <c r="C201">
        <v>0</v>
      </c>
      <c r="D201">
        <v>0.16666666666666671</v>
      </c>
      <c r="E201">
        <v>0</v>
      </c>
      <c r="F201">
        <v>0.16666666666666671</v>
      </c>
      <c r="G201">
        <v>0.2166666666666667</v>
      </c>
    </row>
    <row r="202" spans="1:7" x14ac:dyDescent="0.15">
      <c r="A202" t="str">
        <f>HYPERLINK("./new_k5/query_cmdrels_weight_analyze/0.2_0.7_0.1/au_90339.xlsx","au_90339")</f>
        <v>au_90339</v>
      </c>
      <c r="B202">
        <v>0</v>
      </c>
      <c r="C202">
        <v>0.14285714285714279</v>
      </c>
      <c r="D202">
        <v>4.7619047619047623E-2</v>
      </c>
      <c r="E202">
        <v>0.42857142857142849</v>
      </c>
      <c r="F202">
        <v>0.2047619047619047</v>
      </c>
      <c r="G202">
        <v>0.42857142857142849</v>
      </c>
    </row>
    <row r="203" spans="1:7" x14ac:dyDescent="0.15">
      <c r="A203" t="str">
        <f>HYPERLINK("./new_k5/query_cmdrels_weight_analyze/0.2_0.7_0.1/au_91286.xlsx","au_91286")</f>
        <v>au_91286</v>
      </c>
      <c r="B203">
        <v>0.5</v>
      </c>
      <c r="C203">
        <v>0</v>
      </c>
      <c r="D203">
        <v>0.5</v>
      </c>
      <c r="E203">
        <v>0.16666666666666671</v>
      </c>
      <c r="F203">
        <v>0.5</v>
      </c>
      <c r="G203">
        <v>0.16666666666666671</v>
      </c>
    </row>
    <row r="204" spans="1:7" x14ac:dyDescent="0.15">
      <c r="A204" t="str">
        <f>HYPERLINK("./new_k5/query_cmdrels_weight_analyze/0.2_0.7_0.1/au_9135.xlsx","au_9135")</f>
        <v>au_9135</v>
      </c>
      <c r="B204">
        <v>0.1</v>
      </c>
      <c r="C204">
        <v>0.1</v>
      </c>
      <c r="D204">
        <v>0.16666666666666671</v>
      </c>
      <c r="E204">
        <v>0.16666666666666671</v>
      </c>
      <c r="F204">
        <v>0.24166666666666661</v>
      </c>
      <c r="G204">
        <v>0.24166666666666661</v>
      </c>
    </row>
    <row r="205" spans="1:7" x14ac:dyDescent="0.15">
      <c r="A205" t="str">
        <f>HYPERLINK("./new_k5/query_cmdrels_weight_analyze/0.2_0.7_0.1/au_935569.xlsx","au_935569")</f>
        <v>au_935569</v>
      </c>
      <c r="B205">
        <v>0.14285714285714279</v>
      </c>
      <c r="C205">
        <v>0</v>
      </c>
      <c r="D205">
        <v>0.42857142857142849</v>
      </c>
      <c r="E205">
        <v>0.16666666666666671</v>
      </c>
      <c r="F205">
        <v>0.54285714285714282</v>
      </c>
      <c r="G205">
        <v>0.16666666666666671</v>
      </c>
    </row>
    <row r="206" spans="1:7" x14ac:dyDescent="0.15">
      <c r="A206" t="str">
        <f>HYPERLINK("./new_k5/query_cmdrels_weight_analyze/0.2_0.7_0.1/au_97936.xlsx","au_97936")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HYPERLINK("./new_k5/query_cmdrels_weight_analyze/0.2_0.7_0.1/so_10235778.xlsx","so_10235778")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HYPERLINK("./new_k5/query_cmdrels_weight_analyze/0.2_0.7_0.1/so_1045910.xlsx","so_1045910")</f>
        <v>so_1045910</v>
      </c>
      <c r="B208">
        <v>0.25</v>
      </c>
      <c r="C208">
        <v>0</v>
      </c>
      <c r="D208">
        <v>0.25</v>
      </c>
      <c r="E208">
        <v>0.125</v>
      </c>
      <c r="F208">
        <v>0.25</v>
      </c>
      <c r="G208">
        <v>0.25</v>
      </c>
    </row>
    <row r="209" spans="1:7" x14ac:dyDescent="0.15">
      <c r="A209" t="str">
        <f>HYPERLINK("./new_k5/query_cmdrels_weight_analyze/0.2_0.7_0.1/so_10557360.xlsx","so_10557360")</f>
        <v>so_10557360</v>
      </c>
      <c r="B209">
        <v>0</v>
      </c>
      <c r="C209">
        <v>0</v>
      </c>
      <c r="D209">
        <v>0</v>
      </c>
      <c r="E209">
        <v>0.1</v>
      </c>
      <c r="F209">
        <v>0</v>
      </c>
      <c r="G209">
        <v>0.1</v>
      </c>
    </row>
    <row r="210" spans="1:7" x14ac:dyDescent="0.15">
      <c r="A210" t="str">
        <f>HYPERLINK("./new_k5/query_cmdrels_weight_analyze/0.2_0.7_0.1/so_1058047.xlsx","so_1058047")</f>
        <v>so_1058047</v>
      </c>
      <c r="B210">
        <v>0.25</v>
      </c>
      <c r="C210">
        <v>0.25</v>
      </c>
      <c r="D210">
        <v>0.25</v>
      </c>
      <c r="E210">
        <v>0.41666666666666657</v>
      </c>
      <c r="F210">
        <v>0.25</v>
      </c>
      <c r="G210">
        <v>0.41666666666666657</v>
      </c>
    </row>
    <row r="211" spans="1:7" x14ac:dyDescent="0.15">
      <c r="A211" t="str">
        <f>HYPERLINK("./new_k5/query_cmdrels_weight_analyze/0.2_0.7_0.1/so_10829402.xlsx","so_10829402")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HYPERLINK("./new_k5/query_cmdrels_weight_analyze/0.2_0.7_0.1/so_1088098.xlsx","so_1088098")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0.25</v>
      </c>
    </row>
    <row r="213" spans="1:7" x14ac:dyDescent="0.15">
      <c r="A213" t="str">
        <f>HYPERLINK("./new_k5/query_cmdrels_weight_analyze/0.2_0.7_0.1/so_10990949.xlsx","so_10990949")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0.7</v>
      </c>
    </row>
    <row r="214" spans="1:7" x14ac:dyDescent="0.15">
      <c r="A214" t="str">
        <f>HYPERLINK("./new_k5/query_cmdrels_weight_analyze/0.2_0.7_0.1/so_11211705.xlsx","so_11211705")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HYPERLINK("./new_k5/query_cmdrels_weight_analyze/0.2_0.7_0.1/so_112932.xlsx","so_112932")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HYPERLINK("./new_k5/query_cmdrels_weight_analyze/0.2_0.7_0.1/so_11392189.xlsx","so_11392189")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8.3333333333333329E-2</v>
      </c>
    </row>
    <row r="217" spans="1:7" x14ac:dyDescent="0.15">
      <c r="A217" t="str">
        <f>HYPERLINK("./new_k5/query_cmdrels_weight_analyze/0.2_0.7_0.1/so_1183183.xlsx","so_1183183")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</v>
      </c>
    </row>
    <row r="218" spans="1:7" x14ac:dyDescent="0.15">
      <c r="A218" t="str">
        <f>HYPERLINK("./new_k5/query_cmdrels_weight_analyze/0.2_0.7_0.1/so_1194882.xlsx","so_1194882")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HYPERLINK("./new_k5/query_cmdrels_weight_analyze/0.2_0.7_0.1/so_12120935.xlsx","so_12120935")</f>
        <v>so_12120935</v>
      </c>
      <c r="B219">
        <v>0.25</v>
      </c>
      <c r="C219">
        <v>0.25</v>
      </c>
      <c r="D219">
        <v>0.41666666666666657</v>
      </c>
      <c r="E219">
        <v>0.5</v>
      </c>
      <c r="F219">
        <v>0.41666666666666657</v>
      </c>
      <c r="G219">
        <v>0.6875</v>
      </c>
    </row>
    <row r="220" spans="1:7" x14ac:dyDescent="0.15">
      <c r="A220" t="str">
        <f>HYPERLINK("./new_k5/query_cmdrels_weight_analyze/0.2_0.7_0.1/so_12313384.xlsx","so_12313384")</f>
        <v>so_12313384</v>
      </c>
      <c r="B220">
        <v>0</v>
      </c>
      <c r="C220">
        <v>0.33333333333333331</v>
      </c>
      <c r="D220">
        <v>0.16666666666666671</v>
      </c>
      <c r="E220">
        <v>0.66666666666666663</v>
      </c>
      <c r="F220">
        <v>0.16666666666666671</v>
      </c>
      <c r="G220">
        <v>0.66666666666666663</v>
      </c>
    </row>
    <row r="221" spans="1:7" x14ac:dyDescent="0.15">
      <c r="A221" t="str">
        <f>HYPERLINK("./new_k5/query_cmdrels_weight_analyze/0.2_0.7_0.1/so_12392598.xlsx","so_12392598")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HYPERLINK("./new_k5/query_cmdrels_weight_analyze/0.2_0.7_0.1/so_1241801.xlsx","so_1241801")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HYPERLINK("./new_k5/query_cmdrels_weight_analyze/0.2_0.7_0.1/so_12522269.xlsx","so_12522269")</f>
        <v>so_12522269</v>
      </c>
      <c r="B223">
        <v>0.2</v>
      </c>
      <c r="C223">
        <v>0.2</v>
      </c>
      <c r="D223">
        <v>0.2</v>
      </c>
      <c r="E223">
        <v>0.2</v>
      </c>
      <c r="F223">
        <v>0.28000000000000003</v>
      </c>
      <c r="G223">
        <v>0.2</v>
      </c>
    </row>
    <row r="224" spans="1:7" x14ac:dyDescent="0.15">
      <c r="A224" t="str">
        <f>HYPERLINK("./new_k5/query_cmdrels_weight_analyze/0.2_0.7_0.1/so_1293907.xlsx","so_1293907")</f>
        <v>so_1293907</v>
      </c>
      <c r="B224">
        <v>0</v>
      </c>
      <c r="C224">
        <v>0.33333333333333331</v>
      </c>
      <c r="D224">
        <v>0</v>
      </c>
      <c r="E224">
        <v>0.66666666666666663</v>
      </c>
      <c r="F224">
        <v>8.3333333333333329E-2</v>
      </c>
      <c r="G224">
        <v>0.91666666666666663</v>
      </c>
    </row>
    <row r="225" spans="1:7" x14ac:dyDescent="0.15">
      <c r="A225" t="str">
        <f>HYPERLINK("./new_k5/query_cmdrels_weight_analyze/0.2_0.7_0.1/so_13428910.xlsx","so_13428910")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HYPERLINK("./new_k5/query_cmdrels_weight_analyze/0.2_0.7_0.1/so_135688.xlsx","so_135688")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HYPERLINK("./new_k5/query_cmdrels_weight_analyze/0.2_0.7_0.1/so_13778273.xlsx","so_13778273")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HYPERLINK("./new_k5/query_cmdrels_weight_analyze/0.2_0.7_0.1/so_1405611.xlsx","so_1405611")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0.16666666666666671</v>
      </c>
      <c r="F228">
        <v>0.33333333333333331</v>
      </c>
      <c r="G228">
        <v>0.16666666666666671</v>
      </c>
    </row>
    <row r="229" spans="1:7" x14ac:dyDescent="0.15">
      <c r="A229" t="str">
        <f>HYPERLINK("./new_k5/query_cmdrels_weight_analyze/0.2_0.7_0.1/so_14300794.xlsx","so_14300794")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HYPERLINK("./new_k5/query_cmdrels_weight_analyze/0.2_0.7_0.1/so_143791.xlsx","so_143791")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HYPERLINK("./new_k5/query_cmdrels_weight_analyze/0.2_0.7_0.1/so_14750650.xlsx","so_14750650")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0.16250000000000001</v>
      </c>
    </row>
    <row r="232" spans="1:7" x14ac:dyDescent="0.15">
      <c r="A232" t="str">
        <f>HYPERLINK("./new_k5/query_cmdrels_weight_analyze/0.2_0.7_0.1/so_14978411.xlsx","so_14978411")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HYPERLINK("./new_k5/query_cmdrels_weight_analyze/0.2_0.7_0.1/so_15236308.xlsx","so_15236308")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HYPERLINK("./new_k5/query_cmdrels_weight_analyze/0.2_0.7_0.1/so_15286947.xlsx","so_15286947")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HYPERLINK("./new_k5/query_cmdrels_weight_analyze/0.2_0.7_0.1/so_15402770.xlsx","so_15402770")</f>
        <v>so_15402770</v>
      </c>
      <c r="B235">
        <v>0</v>
      </c>
      <c r="C235">
        <v>0.16666666666666671</v>
      </c>
      <c r="D235">
        <v>0.19444444444444439</v>
      </c>
      <c r="E235">
        <v>0.5</v>
      </c>
      <c r="F235">
        <v>0.19444444444444439</v>
      </c>
      <c r="G235">
        <v>0.66666666666666663</v>
      </c>
    </row>
    <row r="236" spans="1:7" x14ac:dyDescent="0.15">
      <c r="A236" t="str">
        <f>HYPERLINK("./new_k5/query_cmdrels_weight_analyze/0.2_0.7_0.1/so_1570262.xlsx","so_1570262")</f>
        <v>so_1570262</v>
      </c>
      <c r="B236">
        <v>0</v>
      </c>
      <c r="C236">
        <v>0</v>
      </c>
      <c r="D236">
        <v>0</v>
      </c>
      <c r="E236">
        <v>6.6666666666666666E-2</v>
      </c>
      <c r="F236">
        <v>0</v>
      </c>
      <c r="G236">
        <v>0.16666666666666671</v>
      </c>
    </row>
    <row r="237" spans="1:7" x14ac:dyDescent="0.15">
      <c r="A237" t="str">
        <f>HYPERLINK("./new_k5/query_cmdrels_weight_analyze/0.2_0.7_0.1/so_1583219.xlsx","so_1583219")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HYPERLINK("./new_k5/query_cmdrels_weight_analyze/0.2_0.7_0.1/so_15872543.xlsx","so_15872543")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HYPERLINK("./new_k5/query_cmdrels_weight_analyze/0.2_0.7_0.1/so_16038087.xlsx","so_16038087")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0.14285714285714279</v>
      </c>
      <c r="F239">
        <v>0.2857142857142857</v>
      </c>
      <c r="G239">
        <v>0.14285714285714279</v>
      </c>
    </row>
    <row r="240" spans="1:7" x14ac:dyDescent="0.15">
      <c r="A240" t="str">
        <f>HYPERLINK("./new_k5/query_cmdrels_weight_analyze/0.2_0.7_0.1/so_16212656.xlsx","so_16212656")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HYPERLINK("./new_k5/query_cmdrels_weight_analyze/0.2_0.7_0.1/so_16575419.xlsx","so_16575419")</f>
        <v>so_16575419</v>
      </c>
      <c r="B241">
        <v>0.25</v>
      </c>
      <c r="C241">
        <v>0.25</v>
      </c>
      <c r="D241">
        <v>0.25</v>
      </c>
      <c r="E241">
        <v>0.75</v>
      </c>
      <c r="F241">
        <v>0.25</v>
      </c>
      <c r="G241">
        <v>0.75</v>
      </c>
    </row>
    <row r="242" spans="1:7" x14ac:dyDescent="0.15">
      <c r="A242" t="str">
        <f>HYPERLINK("./new_k5/query_cmdrels_weight_analyze/0.2_0.7_0.1/so_17582768.xlsx","so_17582768")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0.1111111111111111</v>
      </c>
      <c r="F242">
        <v>0.33333333333333331</v>
      </c>
      <c r="G242">
        <v>0.1111111111111111</v>
      </c>
    </row>
    <row r="243" spans="1:7" x14ac:dyDescent="0.15">
      <c r="A243" t="str">
        <f>HYPERLINK("./new_k5/query_cmdrels_weight_analyze/0.2_0.7_0.1/so_17607612.xlsx","so_17607612")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HYPERLINK("./new_k5/query_cmdrels_weight_analyze/0.2_0.7_0.1/so_17829785.xlsx","so_17829785")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HYPERLINK("./new_k5/query_cmdrels_weight_analyze/0.2_0.7_0.1/so_1839841.xlsx","so_1839841")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HYPERLINK("./new_k5/query_cmdrels_weight_analyze/0.2_0.7_0.1/so_18468716.xlsx","so_18468716")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0.46666666666666662</v>
      </c>
    </row>
    <row r="247" spans="1:7" x14ac:dyDescent="0.15">
      <c r="A247" t="str">
        <f>HYPERLINK("./new_k5/query_cmdrels_weight_analyze/0.2_0.7_0.1/so_19196105.xlsx","so_19196105")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HYPERLINK("./new_k5/query_cmdrels_weight_analyze/0.2_0.7_0.1/so_19482123.xlsx","so_19482123")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HYPERLINK("./new_k5/query_cmdrels_weight_analyze/0.2_0.7_0.1/so_1975849.xlsx","so_1975849")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HYPERLINK("./new_k5/query_cmdrels_weight_analyze/0.2_0.7_0.1/so_212528.xlsx","so_212528")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0.43333333333333329</v>
      </c>
    </row>
    <row r="251" spans="1:7" x14ac:dyDescent="0.15">
      <c r="A251" t="str">
        <f>HYPERLINK("./new_k5/query_cmdrels_weight_analyze/0.2_0.7_0.1/so_21620406.xlsx","so_21620406")</f>
        <v>so_21620406</v>
      </c>
      <c r="B251">
        <v>0</v>
      </c>
      <c r="C251">
        <v>0</v>
      </c>
      <c r="D251">
        <v>0.1111111111111111</v>
      </c>
      <c r="E251">
        <v>0</v>
      </c>
      <c r="F251">
        <v>0.1111111111111111</v>
      </c>
      <c r="G251">
        <v>8.3333333333333329E-2</v>
      </c>
    </row>
    <row r="252" spans="1:7" x14ac:dyDescent="0.15">
      <c r="A252" t="str">
        <f>HYPERLINK("./new_k5/query_cmdrels_weight_analyze/0.2_0.7_0.1/so_23509348.xlsx","so_23509348")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HYPERLINK("./new_k5/query_cmdrels_weight_analyze/0.2_0.7_0.1/so_24058544.xlsx","so_24058544")</f>
        <v>so_24058544</v>
      </c>
      <c r="B253">
        <v>0.2</v>
      </c>
      <c r="C253">
        <v>0.2</v>
      </c>
      <c r="D253">
        <v>0.2</v>
      </c>
      <c r="E253">
        <v>0.4</v>
      </c>
      <c r="F253">
        <v>0.2</v>
      </c>
      <c r="G253">
        <v>0.4</v>
      </c>
    </row>
    <row r="254" spans="1:7" x14ac:dyDescent="0.15">
      <c r="A254" t="str">
        <f>HYPERLINK("./new_k5/query_cmdrels_weight_analyze/0.2_0.7_0.1/so_24283097.xlsx","so_24283097")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HYPERLINK("./new_k5/query_cmdrels_weight_analyze/0.2_0.7_0.1/so_26256279.xlsx","so_26256279")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HYPERLINK("./new_k5/query_cmdrels_weight_analyze/0.2_0.7_0.1/so_26331651.xlsx","so_26331651")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HYPERLINK("./new_k5/query_cmdrels_weight_analyze/0.2_0.7_0.1/so_26988262.xlsx","so_26988262")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HYPERLINK("./new_k5/query_cmdrels_weight_analyze/0.2_0.7_0.1/so_27238411.xlsx","so_27238411")</f>
        <v>so_27238411</v>
      </c>
      <c r="B258">
        <v>0.2</v>
      </c>
      <c r="C258">
        <v>0.2</v>
      </c>
      <c r="D258">
        <v>0.6</v>
      </c>
      <c r="E258">
        <v>0.33333333333333331</v>
      </c>
      <c r="F258">
        <v>0.6</v>
      </c>
      <c r="G258">
        <v>0.48333333333333328</v>
      </c>
    </row>
    <row r="259" spans="1:7" x14ac:dyDescent="0.15">
      <c r="A259" t="str">
        <f>HYPERLINK("./new_k5/query_cmdrels_weight_analyze/0.2_0.7_0.1/so_27943059.xlsx","so_27943059")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0.33333333333333331</v>
      </c>
      <c r="F259">
        <v>0.16666666666666671</v>
      </c>
      <c r="G259">
        <v>0.5</v>
      </c>
    </row>
    <row r="260" spans="1:7" x14ac:dyDescent="0.15">
      <c r="A260" t="str">
        <f>HYPERLINK("./new_k5/query_cmdrels_weight_analyze/0.2_0.7_0.1/so_28869004.xlsx","so_28869004")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HYPERLINK("./new_k5/query_cmdrels_weight_analyze/0.2_0.7_0.1/so_2973624.xlsx","so_2973624")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0.55555555555555547</v>
      </c>
      <c r="F261">
        <v>0.66666666666666663</v>
      </c>
      <c r="G261">
        <v>0.55555555555555547</v>
      </c>
    </row>
    <row r="262" spans="1:7" x14ac:dyDescent="0.15">
      <c r="A262" t="str">
        <f>HYPERLINK("./new_k5/query_cmdrels_weight_analyze/0.2_0.7_0.1/so_30177455.xlsx","so_30177455")</f>
        <v>so_30177455</v>
      </c>
      <c r="B262">
        <v>0</v>
      </c>
      <c r="C262">
        <v>0</v>
      </c>
      <c r="D262">
        <v>0.16666666666666671</v>
      </c>
      <c r="E262">
        <v>0.1111111111111111</v>
      </c>
      <c r="F262">
        <v>0.16666666666666671</v>
      </c>
      <c r="G262">
        <v>0.1111111111111111</v>
      </c>
    </row>
    <row r="263" spans="1:7" x14ac:dyDescent="0.15">
      <c r="A263" t="str">
        <f>HYPERLINK("./new_k5/query_cmdrels_weight_analyze/0.2_0.7_0.1/so_30251889.xlsx","so_30251889")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0.47916666666666657</v>
      </c>
    </row>
    <row r="264" spans="1:7" x14ac:dyDescent="0.15">
      <c r="A264" t="str">
        <f>HYPERLINK("./new_k5/query_cmdrels_weight_analyze/0.2_0.7_0.1/so_305035.xlsx","so_305035")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HYPERLINK("./new_k5/query_cmdrels_weight_analyze/0.2_0.7_0.1/so_36249744.xlsx","so_36249744")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HYPERLINK("./new_k5/query_cmdrels_weight_analyze/0.2_0.7_0.1/so_3643848.xlsx","so_3643848")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HYPERLINK("./new_k5/query_cmdrels_weight_analyze/0.2_0.7_0.1/so_3667329.xlsx","so_3667329")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HYPERLINK("./new_k5/query_cmdrels_weight_analyze/0.2_0.7_0.1/so_369758.xlsx","so_369758")</f>
        <v>so_369758</v>
      </c>
      <c r="B268">
        <v>0.2</v>
      </c>
      <c r="C268">
        <v>0.2</v>
      </c>
      <c r="D268">
        <v>0.4</v>
      </c>
      <c r="E268">
        <v>0.33333333333333331</v>
      </c>
      <c r="F268">
        <v>0.4</v>
      </c>
      <c r="G268">
        <v>0.48333333333333328</v>
      </c>
    </row>
    <row r="269" spans="1:7" x14ac:dyDescent="0.15">
      <c r="A269" t="str">
        <f>HYPERLINK("./new_k5/query_cmdrels_weight_analyze/0.2_0.7_0.1/so_3756323.xlsx","so_3756323")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0.75</v>
      </c>
    </row>
    <row r="270" spans="1:7" x14ac:dyDescent="0.15">
      <c r="A270" t="str">
        <f>HYPERLINK("./new_k5/query_cmdrels_weight_analyze/0.2_0.7_0.1/so_3767267.xlsx","so_3767267")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0.2</v>
      </c>
    </row>
    <row r="271" spans="1:7" x14ac:dyDescent="0.15">
      <c r="A271" t="str">
        <f>HYPERLINK("./new_k5/query_cmdrels_weight_analyze/0.2_0.7_0.1/so_3833578.xlsx","so_3833578")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HYPERLINK("./new_k5/query_cmdrels_weight_analyze/0.2_0.7_0.1/so_3891076.xlsx","so_3891076")</f>
        <v>so_3891076</v>
      </c>
      <c r="B272">
        <v>0.25</v>
      </c>
      <c r="C272">
        <v>0</v>
      </c>
      <c r="D272">
        <v>0.25</v>
      </c>
      <c r="E272">
        <v>8.3333333333333329E-2</v>
      </c>
      <c r="F272">
        <v>0.25</v>
      </c>
      <c r="G272">
        <v>0.20833333333333329</v>
      </c>
    </row>
    <row r="273" spans="1:7" x14ac:dyDescent="0.15">
      <c r="A273" t="str">
        <f>HYPERLINK("./new_k5/query_cmdrels_weight_analyze/0.2_0.7_0.1/so_3963085.xlsx","so_3963085")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HYPERLINK("./new_k5/query_cmdrels_weight_analyze/0.2_0.7_0.1/so_4325216.xlsx","so_4325216")</f>
        <v>so_4325216</v>
      </c>
      <c r="B274">
        <v>0.5</v>
      </c>
      <c r="C274">
        <v>0.5</v>
      </c>
      <c r="D274">
        <v>0.5</v>
      </c>
      <c r="E274">
        <v>0.83333333333333326</v>
      </c>
      <c r="F274">
        <v>0.5</v>
      </c>
      <c r="G274">
        <v>0.83333333333333326</v>
      </c>
    </row>
    <row r="275" spans="1:7" x14ac:dyDescent="0.15">
      <c r="A275" t="str">
        <f>HYPERLINK("./new_k5/query_cmdrels_weight_analyze/0.2_0.7_0.1/so_448005.xlsx","so_448005")</f>
        <v>so_448005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</row>
    <row r="276" spans="1:7" x14ac:dyDescent="0.15">
      <c r="A276" t="str">
        <f>HYPERLINK("./new_k5/query_cmdrels_weight_analyze/0.2_0.7_0.1/so_4921879.xlsx","so_4921879")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HYPERLINK("./new_k5/query_cmdrels_weight_analyze/0.2_0.7_0.1/so_4922943.xlsx","so_4922943")</f>
        <v>so_4922943</v>
      </c>
      <c r="B277">
        <v>0.2</v>
      </c>
      <c r="C277">
        <v>0.2</v>
      </c>
      <c r="D277">
        <v>0.33333333333333331</v>
      </c>
      <c r="E277">
        <v>0.33333333333333331</v>
      </c>
      <c r="F277">
        <v>0.33333333333333331</v>
      </c>
      <c r="G277">
        <v>0.33333333333333331</v>
      </c>
    </row>
    <row r="278" spans="1:7" x14ac:dyDescent="0.15">
      <c r="A278" t="str">
        <f>HYPERLINK("./new_k5/query_cmdrels_weight_analyze/0.2_0.7_0.1/so_5119946.xlsx","so_5119946")</f>
        <v>so_5119946</v>
      </c>
      <c r="B278">
        <v>0.5</v>
      </c>
      <c r="C278">
        <v>0</v>
      </c>
      <c r="D278">
        <v>0.5</v>
      </c>
      <c r="E278">
        <v>0</v>
      </c>
      <c r="F278">
        <v>0.5</v>
      </c>
      <c r="G278">
        <v>0</v>
      </c>
    </row>
    <row r="279" spans="1:7" x14ac:dyDescent="0.15">
      <c r="A279" t="str">
        <f>HYPERLINK("./new_k5/query_cmdrels_weight_analyze/0.2_0.7_0.1/so_5164985.xlsx","so_5164985")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HYPERLINK("./new_k5/query_cmdrels_weight_analyze/0.2_0.7_0.1/so_5306153.xlsx","so_5306153")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HYPERLINK("./new_k5/query_cmdrels_weight_analyze/0.2_0.7_0.1/so_5566310.xlsx","so_5566310")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HYPERLINK("./new_k5/query_cmdrels_weight_analyze/0.2_0.7_0.1/so_5927369.xlsx","so_5927369")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HYPERLINK("./new_k5/query_cmdrels_weight_analyze/0.2_0.7_0.1/so_5947742.xlsx","so_5947742")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HYPERLINK("./new_k5/query_cmdrels_weight_analyze/0.2_0.7_0.1/so_614795.xlsx","so_614795")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HYPERLINK("./new_k5/query_cmdrels_weight_analyze/0.2_0.7_0.1/so_6207573.xlsx","so_6207573")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0.2857142857142857</v>
      </c>
      <c r="F285">
        <v>0.37142857142857139</v>
      </c>
      <c r="G285">
        <v>0.39285714285714279</v>
      </c>
    </row>
    <row r="286" spans="1:7" x14ac:dyDescent="0.15">
      <c r="A286" t="str">
        <f>HYPERLINK("./new_k5/query_cmdrels_weight_analyze/0.2_0.7_0.1/so_6283167.xlsx","so_6283167")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HYPERLINK("./new_k5/query_cmdrels_weight_analyze/0.2_0.7_0.1/so_6329505.xlsx","so_6329505")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HYPERLINK("./new_k5/query_cmdrels_weight_analyze/0.2_0.7_0.1/so_6423532.xlsx","so_6423532")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HYPERLINK("./new_k5/query_cmdrels_weight_analyze/0.2_0.7_0.1/so_669438.xlsx","so_669438")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0.33333333333333331</v>
      </c>
    </row>
    <row r="290" spans="1:7" x14ac:dyDescent="0.15">
      <c r="A290" t="str">
        <f>HYPERLINK("./new_k5/query_cmdrels_weight_analyze/0.2_0.7_0.1/so_7052875.xlsx","so_7052875")</f>
        <v>so_7052875</v>
      </c>
      <c r="B290">
        <v>0.2</v>
      </c>
      <c r="C290">
        <v>0</v>
      </c>
      <c r="D290">
        <v>0.2</v>
      </c>
      <c r="E290">
        <v>0.1</v>
      </c>
      <c r="F290">
        <v>0.2</v>
      </c>
      <c r="G290">
        <v>0.18</v>
      </c>
    </row>
    <row r="291" spans="1:7" x14ac:dyDescent="0.15">
      <c r="A291" t="str">
        <f>HYPERLINK("./new_k5/query_cmdrels_weight_analyze/0.2_0.7_0.1/so_7221757.xlsx","so_7221757")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HYPERLINK("./new_k5/query_cmdrels_weight_analyze/0.2_0.7_0.1/so_750604.xlsx","so_750604")</f>
        <v>so_750604</v>
      </c>
      <c r="B292">
        <v>0</v>
      </c>
      <c r="C292">
        <v>0</v>
      </c>
      <c r="D292">
        <v>0.1111111111111111</v>
      </c>
      <c r="E292">
        <v>0.16666666666666671</v>
      </c>
      <c r="F292">
        <v>0.1111111111111111</v>
      </c>
      <c r="G292">
        <v>0.33333333333333331</v>
      </c>
    </row>
    <row r="293" spans="1:7" x14ac:dyDescent="0.15">
      <c r="A293" t="str">
        <f>HYPERLINK("./new_k5/query_cmdrels_weight_analyze/0.2_0.7_0.1/so_7575267.xlsx","so_7575267")</f>
        <v>so_7575267</v>
      </c>
      <c r="B293">
        <v>0</v>
      </c>
      <c r="C293">
        <v>0.25</v>
      </c>
      <c r="D293">
        <v>0</v>
      </c>
      <c r="E293">
        <v>0.5</v>
      </c>
      <c r="F293">
        <v>0</v>
      </c>
      <c r="G293">
        <v>0.6875</v>
      </c>
    </row>
    <row r="294" spans="1:7" x14ac:dyDescent="0.15">
      <c r="A294" t="str">
        <f>HYPERLINK("./new_k5/query_cmdrels_weight_analyze/0.2_0.7_0.1/so_7698488.xlsx","so_7698488")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0.16250000000000001</v>
      </c>
    </row>
    <row r="295" spans="1:7" x14ac:dyDescent="0.15">
      <c r="A295" t="str">
        <f>HYPERLINK("./new_k5/query_cmdrels_weight_analyze/0.2_0.7_0.1/so_801095.xlsx","so_801095")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0.55555555555555547</v>
      </c>
      <c r="F295">
        <v>0.33333333333333331</v>
      </c>
      <c r="G295">
        <v>0.55555555555555547</v>
      </c>
    </row>
    <row r="296" spans="1:7" x14ac:dyDescent="0.15">
      <c r="A296" t="str">
        <f>HYPERLINK("./new_k5/query_cmdrels_weight_analyze/0.2_0.7_0.1/so_8249705.xlsx","so_8249705")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HYPERLINK("./new_k5/query_cmdrels_weight_analyze/0.2_0.7_0.1/so_8423541.xlsx","so_8423541")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HYPERLINK("./new_k5/query_cmdrels_weight_analyze/0.2_0.7_0.1/so_8654051.xlsx","so_8654051")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HYPERLINK("./new_k5/query_cmdrels_weight_analyze/0.2_0.7_0.1/so_890262.xlsx","so_890262")</f>
        <v>so_890262</v>
      </c>
      <c r="B299">
        <v>0</v>
      </c>
      <c r="C299">
        <v>0</v>
      </c>
      <c r="D299">
        <v>0</v>
      </c>
      <c r="E299">
        <v>0.1111111111111111</v>
      </c>
      <c r="F299">
        <v>0</v>
      </c>
      <c r="G299">
        <v>0.27777777777777768</v>
      </c>
    </row>
    <row r="300" spans="1:7" x14ac:dyDescent="0.15">
      <c r="A300" t="str">
        <f>HYPERLINK("./new_k5/query_cmdrels_weight_analyze/0.2_0.7_0.1/so_893585.xlsx","so_893585")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HYPERLINK("./new_k5/query_cmdrels_weight_analyze/0.2_0.7_0.1/so_9223460.xlsx","so_9223460")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HYPERLINK("./new_k5/query_cmdrels_weight_analyze/0.2_0.7_0.1/so_9245638.xlsx","so_9245638")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HYPERLINK("./new_k5/query_cmdrels_weight_analyze/0.2_0.7_0.1/so_9304953.xlsx","so_9304953")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0.6</v>
      </c>
    </row>
    <row r="304" spans="1:7" x14ac:dyDescent="0.15">
      <c r="A304" t="str">
        <f>HYPERLINK("./new_k5/query_cmdrels_weight_analyze/0.2_0.7_0.1/so_9361816.xlsx","so_9361816")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HYPERLINK("./new_k5/query_cmdrels_weight_analyze/0.2_0.7_0.1/su_116617.xlsx","su_116617")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HYPERLINK("./new_k5/query_cmdrels_weight_analyze/0.2_0.7_0.1/su_120045.xlsx","su_120045")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HYPERLINK("./new_k5/query_cmdrels_weight_analyze/0.2_0.7_0.1/su_127863.xlsx","su_127863")</f>
        <v>su_127863</v>
      </c>
      <c r="B307">
        <v>0</v>
      </c>
      <c r="C307">
        <v>0</v>
      </c>
      <c r="D307">
        <v>0.25</v>
      </c>
      <c r="E307">
        <v>0.16666666666666671</v>
      </c>
      <c r="F307">
        <v>0.25</v>
      </c>
      <c r="G307">
        <v>0.3666666666666667</v>
      </c>
    </row>
    <row r="308" spans="1:7" x14ac:dyDescent="0.15">
      <c r="A308" t="str">
        <f>HYPERLINK("./new_k5/query_cmdrels_weight_analyze/0.2_0.7_0.1/su_135498.xlsx","su_135498")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HYPERLINK("./new_k5/query_cmdrels_weight_analyze/0.2_0.7_0.1/su_147027.xlsx","su_147027")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HYPERLINK("./new_k5/query_cmdrels_weight_analyze/0.2_0.7_0.1/su_151911.xlsx","su_151911")</f>
        <v>su_151911</v>
      </c>
      <c r="B310">
        <v>0</v>
      </c>
      <c r="C310">
        <v>0</v>
      </c>
      <c r="D310">
        <v>0</v>
      </c>
      <c r="E310">
        <v>8.3333333333333329E-2</v>
      </c>
      <c r="F310">
        <v>0</v>
      </c>
      <c r="G310">
        <v>8.3333333333333329E-2</v>
      </c>
    </row>
    <row r="311" spans="1:7" x14ac:dyDescent="0.15">
      <c r="A311" t="str">
        <f>HYPERLINK("./new_k5/query_cmdrels_weight_analyze/0.2_0.7_0.1/su_153415.xlsx","su_153415")</f>
        <v>su_153415</v>
      </c>
      <c r="B311">
        <v>0.5</v>
      </c>
      <c r="C311">
        <v>0</v>
      </c>
      <c r="D311">
        <v>0.5</v>
      </c>
      <c r="E311">
        <v>0.25</v>
      </c>
      <c r="F311">
        <v>0.5</v>
      </c>
      <c r="G311">
        <v>0.25</v>
      </c>
    </row>
    <row r="312" spans="1:7" x14ac:dyDescent="0.15">
      <c r="A312" t="str">
        <f>HYPERLINK("./new_k5/query_cmdrels_weight_analyze/0.2_0.7_0.1/su_156189.xlsx","su_156189")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0.27777777777777768</v>
      </c>
    </row>
    <row r="313" spans="1:7" x14ac:dyDescent="0.15">
      <c r="A313" t="str">
        <f>HYPERLINK("./new_k5/query_cmdrels_weight_analyze/0.2_0.7_0.1/su_161531.xlsx","su_161531")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HYPERLINK("./new_k5/query_cmdrels_weight_analyze/0.2_0.7_0.1/su_204209.xlsx","su_204209")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HYPERLINK("./new_k5/query_cmdrels_weight_analyze/0.2_0.7_0.1/su_214390.xlsx","su_214390")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HYPERLINK("./new_k5/query_cmdrels_weight_analyze/0.2_0.7_0.1/su_215483.xlsx","su_215483")</f>
        <v>su_215483</v>
      </c>
      <c r="B316">
        <v>0.5</v>
      </c>
      <c r="C316">
        <v>0.5</v>
      </c>
      <c r="D316">
        <v>1</v>
      </c>
      <c r="E316">
        <v>0.5</v>
      </c>
      <c r="F316">
        <v>1</v>
      </c>
      <c r="G316">
        <v>0.5</v>
      </c>
    </row>
    <row r="317" spans="1:7" x14ac:dyDescent="0.15">
      <c r="A317" t="str">
        <f>HYPERLINK("./new_k5/query_cmdrels_weight_analyze/0.2_0.7_0.1/su_215504.xlsx","su_215504")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0.44166666666666671</v>
      </c>
    </row>
    <row r="318" spans="1:7" x14ac:dyDescent="0.15">
      <c r="A318" t="str">
        <f>HYPERLINK("./new_k5/query_cmdrels_weight_analyze/0.2_0.7_0.1/su_227385.xlsx","su_227385")</f>
        <v>su_227385</v>
      </c>
      <c r="B318">
        <v>0</v>
      </c>
      <c r="C318">
        <v>0</v>
      </c>
      <c r="D318">
        <v>0</v>
      </c>
      <c r="E318">
        <v>0.125</v>
      </c>
      <c r="F318">
        <v>0</v>
      </c>
      <c r="G318">
        <v>0.125</v>
      </c>
    </row>
    <row r="319" spans="1:7" x14ac:dyDescent="0.15">
      <c r="A319" t="str">
        <f>HYPERLINK("./new_k5/query_cmdrels_weight_analyze/0.2_0.7_0.1/su_273254.xlsx","su_273254")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HYPERLINK("./new_k5/query_cmdrels_weight_analyze/0.2_0.7_0.1/su_294161.xlsx","su_294161")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HYPERLINK("./new_k5/query_cmdrels_weight_analyze/0.2_0.7_0.1/su_302396.xlsx","su_302396")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HYPERLINK("./new_k5/query_cmdrels_weight_analyze/0.2_0.7_0.1/su_303981.xlsx","su_303981")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HYPERLINK("./new_k5/query_cmdrels_weight_analyze/0.2_0.7_0.1/su_305128.xlsx","su_305128")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HYPERLINK("./new_k5/query_cmdrels_weight_analyze/0.2_0.7_0.1/su_31512.xlsx","su_31512")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HYPERLINK("./new_k5/query_cmdrels_weight_analyze/0.2_0.7_0.1/su_380520.xlsx","su_380520")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0.33333333333333331</v>
      </c>
    </row>
    <row r="326" spans="1:7" x14ac:dyDescent="0.15">
      <c r="A326" t="str">
        <f>HYPERLINK("./new_k5/query_cmdrels_weight_analyze/0.2_0.7_0.1/su_38981.xlsx","su_38981")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HYPERLINK("./new_k5/query_cmdrels_weight_analyze/0.2_0.7_0.1/su_437330.xlsx","su_437330")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HYPERLINK("./new_k5/query_cmdrels_weight_analyze/0.2_0.7_0.1/su_441379.xlsx","su_441379")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HYPERLINK("./new_k5/query_cmdrels_weight_analyze/0.2_0.7_0.1/su_462788.xlsx","su_462788")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0.33333333333333331</v>
      </c>
      <c r="F329">
        <v>0.30555555555555558</v>
      </c>
      <c r="G329">
        <v>0.42222222222222222</v>
      </c>
    </row>
    <row r="330" spans="1:7" x14ac:dyDescent="0.15">
      <c r="A330" t="str">
        <f>HYPERLINK("./new_k5/query_cmdrels_weight_analyze/0.2_0.7_0.1/su_626606.xlsx","su_626606")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0.5</v>
      </c>
    </row>
    <row r="331" spans="1:7" x14ac:dyDescent="0.15">
      <c r="A331" t="str">
        <f>HYPERLINK("./new_k5/query_cmdrels_weight_analyze/0.2_0.7_0.1/su_634469.xlsx","su_634469")</f>
        <v>su_634469</v>
      </c>
      <c r="B331">
        <v>0</v>
      </c>
      <c r="C331">
        <v>0.16666666666666671</v>
      </c>
      <c r="D331">
        <v>0</v>
      </c>
      <c r="E331">
        <v>0.16666666666666671</v>
      </c>
      <c r="F331">
        <v>0</v>
      </c>
      <c r="G331">
        <v>0.16666666666666671</v>
      </c>
    </row>
    <row r="332" spans="1:7" x14ac:dyDescent="0.15">
      <c r="A332" t="str">
        <f>HYPERLINK("./new_k5/query_cmdrels_weight_analyze/0.2_0.7_0.1/su_638616.xlsx","su_638616")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HYPERLINK("./new_k5/query_cmdrels_weight_analyze/0.2_0.7_0.1/su_678113.xlsx","su_678113")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HYPERLINK("./new_k5/query_cmdrels_weight_analyze/0.2_0.7_0.1/su_686394.xlsx","su_686394")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HYPERLINK("./new_k5/query_cmdrels_weight_analyze/0.2_0.7_0.1/su_716795.xlsx","su_716795")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0.125</v>
      </c>
    </row>
    <row r="336" spans="1:7" x14ac:dyDescent="0.15">
      <c r="A336" t="str">
        <f>HYPERLINK("./new_k5/query_cmdrels_weight_analyze/0.2_0.7_0.1/su_758463.xlsx","su_758463")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HYPERLINK("./new_k5/query_cmdrels_weight_analyze/0.2_0.7_0.1/su_766437.xlsx","su_766437")</f>
        <v>su_766437</v>
      </c>
      <c r="B337">
        <v>0</v>
      </c>
      <c r="C337">
        <v>0</v>
      </c>
      <c r="D337">
        <v>0</v>
      </c>
      <c r="E337">
        <v>0.1</v>
      </c>
      <c r="F337">
        <v>0.05</v>
      </c>
      <c r="G337">
        <v>0.32</v>
      </c>
    </row>
    <row r="338" spans="1:7" x14ac:dyDescent="0.15">
      <c r="A338" t="str">
        <f>HYPERLINK("./new_k5/query_cmdrels_weight_analyze/0.2_0.7_0.1/su_904001.xlsx","su_904001")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HYPERLINK("./new_k5/query_cmdrels_weight_analyze/0.2_0.7_0.1/ul_100959.xlsx","ul_100959")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HYPERLINK("./new_k5/query_cmdrels_weight_analyze/0.2_0.7_0.1/ul_101073.xlsx","ul_101073")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HYPERLINK("./new_k5/query_cmdrels_weight_analyze/0.2_0.7_0.1/ul_101237.xlsx","ul_101237")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HYPERLINK("./new_k5/query_cmdrels_weight_analyze/0.2_0.7_0.1/ul_102752.xlsx","ul_102752")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HYPERLINK("./new_k5/query_cmdrels_weight_analyze/0.2_0.7_0.1/ul_108174.xlsx","ul_108174")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HYPERLINK("./new_k5/query_cmdrels_weight_analyze/0.2_0.7_0.1/ul_109536.xlsx","ul_109536")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HYPERLINK("./new_k5/query_cmdrels_weight_analyze/0.2_0.7_0.1/ul_112050.xlsx","ul_112050")</f>
        <v>ul_112050</v>
      </c>
      <c r="B345">
        <v>0</v>
      </c>
      <c r="C345">
        <v>0.25</v>
      </c>
      <c r="D345">
        <v>0.125</v>
      </c>
      <c r="E345">
        <v>0.75</v>
      </c>
      <c r="F345">
        <v>0.125</v>
      </c>
      <c r="G345">
        <v>0.75</v>
      </c>
    </row>
    <row r="346" spans="1:7" x14ac:dyDescent="0.15">
      <c r="A346" t="str">
        <f>HYPERLINK("./new_k5/query_cmdrels_weight_analyze/0.2_0.7_0.1/ul_116070.xlsx","ul_116070")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HYPERLINK("./new_k5/query_cmdrels_weight_analyze/0.2_0.7_0.1/ul_11851.xlsx","ul_11851")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HYPERLINK("./new_k5/query_cmdrels_weight_analyze/0.2_0.7_0.1/ul_119126.xlsx","ul_119126")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HYPERLINK("./new_k5/query_cmdrels_weight_analyze/0.2_0.7_0.1/ul_121718.xlsx","ul_121718")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HYPERLINK("./new_k5/query_cmdrels_weight_analyze/0.2_0.7_0.1/ul_12227.xlsx","ul_12227")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HYPERLINK("./new_k5/query_cmdrels_weight_analyze/0.2_0.7_0.1/ul_12453.xlsx","ul_12453")</f>
        <v>ul_12453</v>
      </c>
      <c r="B351">
        <v>0</v>
      </c>
      <c r="C351">
        <v>0.25</v>
      </c>
      <c r="D351">
        <v>0.125</v>
      </c>
      <c r="E351">
        <v>0.75</v>
      </c>
      <c r="F351">
        <v>0.125</v>
      </c>
      <c r="G351">
        <v>1</v>
      </c>
    </row>
    <row r="352" spans="1:7" x14ac:dyDescent="0.15">
      <c r="A352" t="str">
        <f>HYPERLINK("./new_k5/query_cmdrels_weight_analyze/0.2_0.7_0.1/ul_12535.xlsx","ul_12535")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0.28666666666666663</v>
      </c>
    </row>
    <row r="353" spans="1:7" x14ac:dyDescent="0.15">
      <c r="A353" t="str">
        <f>HYPERLINK("./new_k5/query_cmdrels_weight_analyze/0.2_0.7_0.1/ul_127066.xlsx","ul_127066")</f>
        <v>ul_127066</v>
      </c>
      <c r="B353">
        <v>0.25</v>
      </c>
      <c r="C353">
        <v>0.25</v>
      </c>
      <c r="D353">
        <v>0.25</v>
      </c>
      <c r="E353">
        <v>0.25</v>
      </c>
      <c r="F353">
        <v>0.25</v>
      </c>
      <c r="G353">
        <v>0.375</v>
      </c>
    </row>
    <row r="354" spans="1:7" x14ac:dyDescent="0.15">
      <c r="A354" t="str">
        <f>HYPERLINK("./new_k5/query_cmdrels_weight_analyze/0.2_0.7_0.1/ul_128953.xlsx","ul_128953")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HYPERLINK("./new_k5/query_cmdrels_weight_analyze/0.2_0.7_0.1/ul_134829.xlsx","ul_134829")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0.66666666666666663</v>
      </c>
    </row>
    <row r="356" spans="1:7" x14ac:dyDescent="0.15">
      <c r="A356" t="str">
        <f>HYPERLINK("./new_k5/query_cmdrels_weight_analyze/0.2_0.7_0.1/ul_136371.xlsx","ul_136371")</f>
        <v>ul_136371</v>
      </c>
      <c r="B356">
        <v>0</v>
      </c>
      <c r="C356">
        <v>0</v>
      </c>
      <c r="D356">
        <v>0</v>
      </c>
      <c r="E356">
        <v>0.16666666666666671</v>
      </c>
      <c r="F356">
        <v>0</v>
      </c>
      <c r="G356">
        <v>0.3</v>
      </c>
    </row>
    <row r="357" spans="1:7" x14ac:dyDescent="0.15">
      <c r="A357" t="str">
        <f>HYPERLINK("./new_k5/query_cmdrels_weight_analyze/0.2_0.7_0.1/ul_136884.xlsx","ul_136884")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HYPERLINK("./new_k5/query_cmdrels_weight_analyze/0.2_0.7_0.1/ul_138398.xlsx","ul_138398")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HYPERLINK("./new_k5/query_cmdrels_weight_analyze/0.2_0.7_0.1/ul_139271.xlsx","ul_139271")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0.16666666666666671</v>
      </c>
      <c r="F359">
        <v>0.33333333333333331</v>
      </c>
      <c r="G359">
        <v>0.35</v>
      </c>
    </row>
    <row r="360" spans="1:7" x14ac:dyDescent="0.15">
      <c r="A360" t="str">
        <f>HYPERLINK("./new_k5/query_cmdrels_weight_analyze/0.2_0.7_0.1/ul_140482.xlsx","ul_140482")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HYPERLINK("./new_k5/query_cmdrels_weight_analyze/0.2_0.7_0.1/ul_14191.xlsx","ul_14191")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0.1111111111111111</v>
      </c>
    </row>
    <row r="362" spans="1:7" x14ac:dyDescent="0.15">
      <c r="A362" t="str">
        <f>HYPERLINK("./new_k5/query_cmdrels_weight_analyze/0.2_0.7_0.1/ul_145929.xlsx","ul_145929")</f>
        <v>ul_145929</v>
      </c>
      <c r="B362">
        <v>0</v>
      </c>
      <c r="C362">
        <v>0</v>
      </c>
      <c r="D362">
        <v>0.16666666666666671</v>
      </c>
      <c r="E362">
        <v>0.58333333333333326</v>
      </c>
      <c r="F362">
        <v>0.16666666666666671</v>
      </c>
      <c r="G362">
        <v>0.58333333333333326</v>
      </c>
    </row>
    <row r="363" spans="1:7" x14ac:dyDescent="0.15">
      <c r="A363" t="str">
        <f>HYPERLINK("./new_k5/query_cmdrels_weight_analyze/0.2_0.7_0.1/ul_148985.xlsx","ul_148985")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HYPERLINK("./new_k5/query_cmdrels_weight_analyze/0.2_0.7_0.1/ul_15405.xlsx","ul_15405")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HYPERLINK("./new_k5/query_cmdrels_weight_analyze/0.2_0.7_0.1/ul_155551.xlsx","ul_155551")</f>
        <v>ul_155551</v>
      </c>
      <c r="B365">
        <v>0</v>
      </c>
      <c r="C365">
        <v>0.5</v>
      </c>
      <c r="D365">
        <v>0</v>
      </c>
      <c r="E365">
        <v>0.83333333333333326</v>
      </c>
      <c r="F365">
        <v>0</v>
      </c>
      <c r="G365">
        <v>0.83333333333333326</v>
      </c>
    </row>
    <row r="366" spans="1:7" x14ac:dyDescent="0.15">
      <c r="A366" t="str">
        <f>HYPERLINK("./new_k5/query_cmdrels_weight_analyze/0.2_0.7_0.1/ul_159672.xlsx","ul_159672")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HYPERLINK("./new_k5/query_cmdrels_weight_analyze/0.2_0.7_0.1/ul_163845.xlsx","ul_163845")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HYPERLINK("./new_k5/query_cmdrels_weight_analyze/0.2_0.7_0.1/ul_16407.xlsx","ul_16407")</f>
        <v>ul_16407</v>
      </c>
      <c r="B368">
        <v>0.5</v>
      </c>
      <c r="C368">
        <v>0</v>
      </c>
      <c r="D368">
        <v>0.5</v>
      </c>
      <c r="E368">
        <v>0.25</v>
      </c>
      <c r="F368">
        <v>0.75</v>
      </c>
      <c r="G368">
        <v>0.25</v>
      </c>
    </row>
    <row r="369" spans="1:7" x14ac:dyDescent="0.15">
      <c r="A369" t="str">
        <f>HYPERLINK("./new_k5/query_cmdrels_weight_analyze/0.2_0.7_0.1/ul_166558.xlsx","ul_166558")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HYPERLINK("./new_k5/query_cmdrels_weight_analyze/0.2_0.7_0.1/ul_171314.xlsx","ul_171314")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0.25</v>
      </c>
    </row>
    <row r="371" spans="1:7" x14ac:dyDescent="0.15">
      <c r="A371" t="str">
        <f>HYPERLINK("./new_k5/query_cmdrels_weight_analyze/0.2_0.7_0.1/ul_182032.xlsx","ul_182032")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HYPERLINK("./new_k5/query_cmdrels_weight_analyze/0.2_0.7_0.1/ul_19344.xlsx","ul_19344")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HYPERLINK("./new_k5/query_cmdrels_weight_analyze/0.2_0.7_0.1/ul_19369.xlsx","ul_19369")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HYPERLINK("./new_k5/query_cmdrels_weight_analyze/0.2_0.7_0.1/ul_19485.xlsx","ul_19485")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HYPERLINK("./new_k5/query_cmdrels_weight_analyze/0.2_0.7_0.1/ul_20370.xlsx","ul_20370")</f>
        <v>ul_20370</v>
      </c>
      <c r="B375">
        <v>0</v>
      </c>
      <c r="C375">
        <v>0.5</v>
      </c>
      <c r="D375">
        <v>0</v>
      </c>
      <c r="E375">
        <v>0.5</v>
      </c>
      <c r="F375">
        <v>0</v>
      </c>
      <c r="G375">
        <v>0.5</v>
      </c>
    </row>
    <row r="376" spans="1:7" x14ac:dyDescent="0.15">
      <c r="A376" t="str">
        <f>HYPERLINK("./new_k5/query_cmdrels_weight_analyze/0.2_0.7_0.1/ul_211817.xlsx","ul_211817")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HYPERLINK("./new_k5/query_cmdrels_weight_analyze/0.2_0.7_0.1/ul_212925.xlsx","ul_212925")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HYPERLINK("./new_k5/query_cmdrels_weight_analyze/0.2_0.7_0.1/ul_21471.xlsx","ul_21471")</f>
        <v>ul_21471</v>
      </c>
      <c r="B378">
        <v>0</v>
      </c>
      <c r="C378">
        <v>0</v>
      </c>
      <c r="D378">
        <v>0</v>
      </c>
      <c r="E378">
        <v>0</v>
      </c>
      <c r="F378">
        <v>8.3333333333333329E-2</v>
      </c>
      <c r="G378">
        <v>0</v>
      </c>
    </row>
    <row r="379" spans="1:7" x14ac:dyDescent="0.15">
      <c r="A379" t="str">
        <f>HYPERLINK("./new_k5/query_cmdrels_weight_analyze/0.2_0.7_0.1/ul_22545.xlsx","ul_22545")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HYPERLINK("./new_k5/query_cmdrels_weight_analyze/0.2_0.7_0.1/ul_230481.xlsx","ul_230481")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HYPERLINK("./new_k5/query_cmdrels_weight_analyze/0.2_0.7_0.1/ul_230673.xlsx","ul_230673")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0.45</v>
      </c>
    </row>
    <row r="382" spans="1:7" x14ac:dyDescent="0.15">
      <c r="A382" t="str">
        <f>HYPERLINK("./new_k5/query_cmdrels_weight_analyze/0.2_0.7_0.1/ul_230800.xlsx","ul_230800")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HYPERLINK("./new_k5/query_cmdrels_weight_analyze/0.2_0.7_0.1/ul_232384.xlsx","ul_232384")</f>
        <v>ul_232384</v>
      </c>
      <c r="B383">
        <v>0</v>
      </c>
      <c r="C383">
        <v>0.5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HYPERLINK("./new_k5/query_cmdrels_weight_analyze/0.2_0.7_0.1/ul_24441.xlsx","ul_24441")</f>
        <v>ul_24441</v>
      </c>
      <c r="B384">
        <v>0</v>
      </c>
      <c r="C384">
        <v>0.5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HYPERLINK("./new_k5/query_cmdrels_weight_analyze/0.2_0.7_0.1/ul_246535.xlsx","ul_246535")</f>
        <v>ul_246535</v>
      </c>
      <c r="B385">
        <v>0.2</v>
      </c>
      <c r="C385">
        <v>0</v>
      </c>
      <c r="D385">
        <v>0.2</v>
      </c>
      <c r="E385">
        <v>0.23333333333333331</v>
      </c>
      <c r="F385">
        <v>0.2</v>
      </c>
      <c r="G385">
        <v>0.23333333333333331</v>
      </c>
    </row>
    <row r="386" spans="1:7" x14ac:dyDescent="0.15">
      <c r="A386" t="str">
        <f>HYPERLINK("./new_k5/query_cmdrels_weight_analyze/0.2_0.7_0.1/ul_259791.xlsx","ul_259791")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</v>
      </c>
    </row>
    <row r="387" spans="1:7" x14ac:dyDescent="0.15">
      <c r="A387" t="str">
        <f>HYPERLINK("./new_k5/query_cmdrels_weight_analyze/0.2_0.7_0.1/ul_273971.xlsx","ul_273971")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0.27777777777777768</v>
      </c>
      <c r="F387">
        <v>0.43333333333333329</v>
      </c>
      <c r="G387">
        <v>0.27777777777777768</v>
      </c>
    </row>
    <row r="388" spans="1:7" x14ac:dyDescent="0.15">
      <c r="A388" t="str">
        <f>HYPERLINK("./new_k5/query_cmdrels_weight_analyze/0.2_0.7_0.1/ul_28553.xlsx","ul_28553")</f>
        <v>ul_28553</v>
      </c>
      <c r="B388">
        <v>0.25</v>
      </c>
      <c r="C388">
        <v>0.25</v>
      </c>
      <c r="D388">
        <v>0.5</v>
      </c>
      <c r="E388">
        <v>0.25</v>
      </c>
      <c r="F388">
        <v>0.5</v>
      </c>
      <c r="G388">
        <v>0.25</v>
      </c>
    </row>
    <row r="389" spans="1:7" x14ac:dyDescent="0.15">
      <c r="A389" t="str">
        <f>HYPERLINK("./new_k5/query_cmdrels_weight_analyze/0.2_0.7_0.1/ul_288521.xlsx","ul_288521")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HYPERLINK("./new_k5/query_cmdrels_weight_analyze/0.2_0.7_0.1/ul_32290.xlsx","ul_32290")</f>
        <v>ul_32290</v>
      </c>
      <c r="B390">
        <v>0</v>
      </c>
      <c r="C390">
        <v>0</v>
      </c>
      <c r="D390">
        <v>0</v>
      </c>
      <c r="E390">
        <v>8.3333333333333329E-2</v>
      </c>
      <c r="F390">
        <v>0</v>
      </c>
      <c r="G390">
        <v>8.3333333333333329E-2</v>
      </c>
    </row>
    <row r="391" spans="1:7" x14ac:dyDescent="0.15">
      <c r="A391" t="str">
        <f>HYPERLINK("./new_k5/query_cmdrels_weight_analyze/0.2_0.7_0.1/ul_328882.xlsx","ul_328882")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HYPERLINK("./new_k5/query_cmdrels_weight_analyze/0.2_0.7_0.1/ul_35131.xlsx","ul_35131")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0.66666666666666663</v>
      </c>
    </row>
    <row r="393" spans="1:7" x14ac:dyDescent="0.15">
      <c r="A393" t="str">
        <f>HYPERLINK("./new_k5/query_cmdrels_weight_analyze/0.2_0.7_0.1/ul_35333.xlsx","ul_35333")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HYPERLINK("./new_k5/query_cmdrels_weight_analyze/0.2_0.7_0.1/ul_35711.xlsx","ul_35711")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HYPERLINK("./new_k5/query_cmdrels_weight_analyze/0.2_0.7_0.1/ul_3575.xlsx","ul_3575")</f>
        <v>ul_3575</v>
      </c>
      <c r="B395">
        <v>0</v>
      </c>
      <c r="C395">
        <v>0</v>
      </c>
      <c r="D395">
        <v>8.3333333333333329E-2</v>
      </c>
      <c r="E395">
        <v>0</v>
      </c>
      <c r="F395">
        <v>8.3333333333333329E-2</v>
      </c>
      <c r="G395">
        <v>3.3333333333333333E-2</v>
      </c>
    </row>
    <row r="396" spans="1:7" x14ac:dyDescent="0.15">
      <c r="A396" t="str">
        <f>HYPERLINK("./new_k5/query_cmdrels_weight_analyze/0.2_0.7_0.1/ul_35832.xlsx","ul_35832")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HYPERLINK("./new_k5/query_cmdrels_weight_analyze/0.2_0.7_0.1/ul_370318.xlsx","ul_370318")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0.2857142857142857</v>
      </c>
      <c r="F397">
        <v>0.14285714285714279</v>
      </c>
      <c r="G397">
        <v>0.2857142857142857</v>
      </c>
    </row>
    <row r="398" spans="1:7" x14ac:dyDescent="0.15">
      <c r="A398" t="str">
        <f>HYPERLINK("./new_k5/query_cmdrels_weight_analyze/0.2_0.7_0.1/ul_37329.xlsx","ul_37329")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0.66666666666666663</v>
      </c>
      <c r="F398">
        <v>0.33333333333333331</v>
      </c>
      <c r="G398">
        <v>0.66666666666666663</v>
      </c>
    </row>
    <row r="399" spans="1:7" x14ac:dyDescent="0.15">
      <c r="A399" t="str">
        <f>HYPERLINK("./new_k5/query_cmdrels_weight_analyze/0.2_0.7_0.1/ul_38209.xlsx","ul_38209")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HYPERLINK("./new_k5/query_cmdrels_weight_analyze/0.2_0.7_0.1/ul_41246.xlsx","ul_41246")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HYPERLINK("./new_k5/query_cmdrels_weight_analyze/0.2_0.7_0.1/ul_41362.xlsx","ul_41362")</f>
        <v>ul_41362</v>
      </c>
      <c r="B401">
        <v>0</v>
      </c>
      <c r="C401">
        <v>0</v>
      </c>
      <c r="D401">
        <v>0</v>
      </c>
      <c r="E401">
        <v>8.3333333333333329E-2</v>
      </c>
      <c r="F401">
        <v>0</v>
      </c>
      <c r="G401">
        <v>8.3333333333333329E-2</v>
      </c>
    </row>
    <row r="402" spans="1:7" x14ac:dyDescent="0.15">
      <c r="A402" t="str">
        <f>HYPERLINK("./new_k5/query_cmdrels_weight_analyze/0.2_0.7_0.1/ul_48200.xlsx","ul_48200")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HYPERLINK("./new_k5/query_cmdrels_weight_analyze/0.2_0.7_0.1/ul_50098.xlsx","ul_50098")</f>
        <v>ul_50098</v>
      </c>
      <c r="B403">
        <v>0</v>
      </c>
      <c r="C403">
        <v>0</v>
      </c>
      <c r="D403">
        <v>0.1166666666666667</v>
      </c>
      <c r="E403">
        <v>0.05</v>
      </c>
      <c r="F403">
        <v>0.1166666666666667</v>
      </c>
      <c r="G403">
        <v>0.16</v>
      </c>
    </row>
    <row r="404" spans="1:7" x14ac:dyDescent="0.15">
      <c r="A404" t="str">
        <f>HYPERLINK("./new_k5/query_cmdrels_weight_analyze/0.2_0.7_0.1/ul_50785.xlsx","ul_50785")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HYPERLINK("./new_k5/query_cmdrels_weight_analyze/0.2_0.7_0.1/ul_5085.xlsx","ul_5085")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HYPERLINK("./new_k5/query_cmdrels_weight_analyze/0.2_0.7_0.1/ul_53737.xlsx","ul_53737")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HYPERLINK("./new_k5/query_cmdrels_weight_analyze/0.2_0.7_0.1/ul_55125.xlsx","ul_55125")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HYPERLINK("./new_k5/query_cmdrels_weight_analyze/0.2_0.7_0.1/ul_56453.xlsx","ul_56453")</f>
        <v>ul_56453</v>
      </c>
      <c r="B408">
        <v>0</v>
      </c>
      <c r="C408">
        <v>0.25</v>
      </c>
      <c r="D408">
        <v>8.3333333333333329E-2</v>
      </c>
      <c r="E408">
        <v>0.41666666666666657</v>
      </c>
      <c r="F408">
        <v>8.3333333333333329E-2</v>
      </c>
      <c r="G408">
        <v>0.56666666666666665</v>
      </c>
    </row>
    <row r="409" spans="1:7" x14ac:dyDescent="0.15">
      <c r="A409" t="str">
        <f>HYPERLINK("./new_k5/query_cmdrels_weight_analyze/0.2_0.7_0.1/ul_63648.xlsx","ul_63648")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HYPERLINK("./new_k5/query_cmdrels_weight_analyze/0.2_0.7_0.1/ul_6402.xlsx","ul_6402")</f>
        <v>ul_6402</v>
      </c>
      <c r="B410">
        <v>0.33333333333333331</v>
      </c>
      <c r="C410">
        <v>0</v>
      </c>
      <c r="D410">
        <v>0.33333333333333331</v>
      </c>
      <c r="E410">
        <v>0.16666666666666671</v>
      </c>
      <c r="F410">
        <v>0.33333333333333331</v>
      </c>
      <c r="G410">
        <v>0.16666666666666671</v>
      </c>
    </row>
    <row r="411" spans="1:7" x14ac:dyDescent="0.15">
      <c r="A411" t="str">
        <f>HYPERLINK("./new_k5/query_cmdrels_weight_analyze/0.2_0.7_0.1/ul_65106.xlsx","ul_65106")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0.66666666666666663</v>
      </c>
    </row>
    <row r="412" spans="1:7" x14ac:dyDescent="0.15">
      <c r="A412" t="str">
        <f>HYPERLINK("./new_k5/query_cmdrels_weight_analyze/0.2_0.7_0.1/ul_65932.xlsx","ul_65932")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HYPERLINK("./new_k5/query_cmdrels_weight_analyze/0.2_0.7_0.1/ul_6596.xlsx","ul_6596")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HYPERLINK("./new_k5/query_cmdrels_weight_analyze/0.2_0.7_0.1/ul_67503.xlsx","ul_67503")</f>
        <v>ul_67503</v>
      </c>
      <c r="B414">
        <v>0</v>
      </c>
      <c r="C414">
        <v>0.5</v>
      </c>
      <c r="D414">
        <v>0.25</v>
      </c>
      <c r="E414">
        <v>0.5</v>
      </c>
      <c r="F414">
        <v>0.5</v>
      </c>
      <c r="G414">
        <v>0.5</v>
      </c>
    </row>
    <row r="415" spans="1:7" x14ac:dyDescent="0.15">
      <c r="A415" t="str">
        <f>HYPERLINK("./new_k5/query_cmdrels_weight_analyze/0.2_0.7_0.1/ul_67592.xlsx","ul_67592")</f>
        <v>ul_67592</v>
      </c>
      <c r="B415">
        <v>0.33333333333333331</v>
      </c>
      <c r="C415">
        <v>0</v>
      </c>
      <c r="D415">
        <v>0.33333333333333331</v>
      </c>
      <c r="E415">
        <v>0</v>
      </c>
      <c r="F415">
        <v>0.33333333333333331</v>
      </c>
      <c r="G415">
        <v>6.6666666666666666E-2</v>
      </c>
    </row>
    <row r="416" spans="1:7" x14ac:dyDescent="0.15">
      <c r="A416" t="str">
        <f>HYPERLINK("./new_k5/query_cmdrels_weight_analyze/0.2_0.7_0.1/ul_70581.xlsx","ul_70581")</f>
        <v>ul_70581</v>
      </c>
      <c r="B416">
        <v>0</v>
      </c>
      <c r="C416">
        <v>0.2</v>
      </c>
      <c r="D416">
        <v>0.1</v>
      </c>
      <c r="E416">
        <v>0.4</v>
      </c>
      <c r="F416">
        <v>0.1</v>
      </c>
      <c r="G416">
        <v>0.55000000000000004</v>
      </c>
    </row>
    <row r="417" spans="1:7" x14ac:dyDescent="0.15">
      <c r="A417" t="str">
        <f>HYPERLINK("./new_k5/query_cmdrels_weight_analyze/0.2_0.7_0.1/ul_70614.xlsx","ul_70614")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HYPERLINK("./new_k5/query_cmdrels_weight_analyze/0.2_0.7_0.1/ul_71465.xlsx","ul_71465")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HYPERLINK("./new_k5/query_cmdrels_weight_analyze/0.2_0.7_0.1/ul_7226.xlsx","ul_7226")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0.33333333333333331</v>
      </c>
      <c r="F419">
        <v>0.33333333333333331</v>
      </c>
      <c r="G419">
        <v>0.5</v>
      </c>
    </row>
    <row r="420" spans="1:7" x14ac:dyDescent="0.15">
      <c r="A420" t="str">
        <f>HYPERLINK("./new_k5/query_cmdrels_weight_analyze/0.2_0.7_0.1/ul_78182.xlsx","ul_78182")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</v>
      </c>
    </row>
    <row r="421" spans="1:7" x14ac:dyDescent="0.15">
      <c r="A421" t="str">
        <f>HYPERLINK("./new_k5/query_cmdrels_weight_analyze/0.2_0.7_0.1/ul_79678.xlsx","ul_79678")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HYPERLINK("./new_k5/query_cmdrels_weight_analyze/0.2_0.7_0.1/ul_79702.xlsx","ul_79702")</f>
        <v>ul_79702</v>
      </c>
      <c r="B422">
        <v>0</v>
      </c>
      <c r="C422">
        <v>0.33333333333333331</v>
      </c>
      <c r="D422">
        <v>0</v>
      </c>
      <c r="E422">
        <v>0.55555555555555547</v>
      </c>
      <c r="F422">
        <v>0</v>
      </c>
      <c r="G422">
        <v>0.75555555555555554</v>
      </c>
    </row>
    <row r="423" spans="1:7" x14ac:dyDescent="0.15">
      <c r="A423" t="str">
        <f>HYPERLINK("./new_k5/query_cmdrels_weight_analyze/0.2_0.7_0.1/ul_83593.xlsx","ul_83593")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HYPERLINK("./new_k5/query_cmdrels_weight_analyze/0.2_0.7_0.1/ul_84381.xlsx","ul_84381")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HYPERLINK("./new_k5/query_cmdrels_weight_analyze/0.2_0.7_0.1/ul_85180.xlsx","ul_85180")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0.27777777777777768</v>
      </c>
    </row>
    <row r="426" spans="1:7" x14ac:dyDescent="0.15">
      <c r="A426" t="str">
        <f>HYPERLINK("./new_k5/query_cmdrels_weight_analyze/0.2_0.7_0.1/ul_86071.xlsx","ul_86071")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HYPERLINK("./new_k5/query_cmdrels_weight_analyze/0.2_0.7_0.1/ul_86729.xlsx","ul_86729")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HYPERLINK("./new_k5/query_cmdrels_weight_analyze/0.2_0.7_0.1/ul_88824.xlsx","ul_88824")</f>
        <v>ul_88824</v>
      </c>
      <c r="B428">
        <v>0</v>
      </c>
      <c r="C428">
        <v>0.33333333333333331</v>
      </c>
      <c r="D428">
        <v>0</v>
      </c>
      <c r="E428">
        <v>0.33333333333333331</v>
      </c>
      <c r="F428">
        <v>0</v>
      </c>
      <c r="G428">
        <v>0.5</v>
      </c>
    </row>
    <row r="429" spans="1:7" x14ac:dyDescent="0.15">
      <c r="A429" t="str">
        <f>HYPERLINK("./new_k5/query_cmdrels_weight_analyze/0.2_0.7_0.1/ul_8945.xlsx","ul_8945")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HYPERLINK("./new_k5/query_cmdrels_weight_analyze/0.2_0.7_0.1/ul_89933.xlsx","ul_89933")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HYPERLINK("./new_k5/query_cmdrels_weight_analyze/0.2_0.7_0.1/ul_91297.xlsx","ul_91297")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HYPERLINK("./new_k5/query_cmdrels_weight_analyze/0.2_0.7_0.1/ul_9252.xlsx","ul_9252")</f>
        <v>ul_9252</v>
      </c>
      <c r="B432">
        <v>0</v>
      </c>
      <c r="C432">
        <v>0</v>
      </c>
      <c r="D432">
        <v>0.23333333333333331</v>
      </c>
      <c r="E432">
        <v>6.6666666666666666E-2</v>
      </c>
      <c r="F432">
        <v>0.23333333333333331</v>
      </c>
      <c r="G432">
        <v>0.1466666666666667</v>
      </c>
    </row>
    <row r="433" spans="1:7" x14ac:dyDescent="0.15">
      <c r="A433" t="str">
        <f>HYPERLINK("./new_k5/query_cmdrels_weight_analyze/0.2_0.7_0.1/ul_92560.xlsx","ul_92560")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0.5</v>
      </c>
    </row>
    <row r="434" spans="1:7" x14ac:dyDescent="0.15">
      <c r="A434" t="str">
        <f>HYPERLINK("./new_k5/query_cmdrels_weight_analyze/0.2_0.7_0.1/ul_92799.xlsx","ul_92799")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0.33333333333333331</v>
      </c>
      <c r="F434">
        <v>0.53611111111111109</v>
      </c>
      <c r="G434">
        <v>0.43333333333333329</v>
      </c>
    </row>
    <row r="435" spans="1:7" x14ac:dyDescent="0.15">
      <c r="A435" t="str">
        <f>HYPERLINK("./new_k5/query_cmdrels_weight_analyze/0.2_0.7_0.1/ul_93139.xlsx","ul_93139")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HYPERLINK("./new_k5/query_cmdrels_weight_analyze/0.2_0.7_0.1/ul_98461.xlsx","ul_98461")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HYPERLINK("./new_k5/query_cmdrels_weight_analyze/0.3_0.1_0.6/au_102733.xlsx","au_102733")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HYPERLINK("./new_k5/query_cmdrels_weight_analyze/0.3_0.1_0.6/au_1029436.xlsx","au_1029436")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HYPERLINK("./new_k5/query_cmdrels_weight_analyze/0.3_0.1_0.6/au_1029502.xlsx","au_1029502")</f>
        <v>au_1029502</v>
      </c>
      <c r="B5">
        <v>0.25</v>
      </c>
      <c r="C5">
        <v>0.25</v>
      </c>
      <c r="D5">
        <v>0.25</v>
      </c>
      <c r="E5">
        <v>0.25</v>
      </c>
      <c r="F5">
        <v>0.375</v>
      </c>
      <c r="G5">
        <v>0.25</v>
      </c>
    </row>
    <row r="6" spans="1:7" x14ac:dyDescent="0.15">
      <c r="A6" t="str">
        <f>HYPERLINK("./new_k5/query_cmdrels_weight_analyze/0.3_0.1_0.6/au_1029531.xlsx","au_1029531")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HYPERLINK("./new_k5/query_cmdrels_weight_analyze/0.3_0.1_0.6/au_104542.xlsx","au_104542")</f>
        <v>au_104542</v>
      </c>
      <c r="B7">
        <v>0.125</v>
      </c>
      <c r="C7">
        <v>0.125</v>
      </c>
      <c r="D7">
        <v>0.25</v>
      </c>
      <c r="E7">
        <v>0.25</v>
      </c>
      <c r="F7">
        <v>0.25</v>
      </c>
      <c r="G7">
        <v>0.25</v>
      </c>
    </row>
    <row r="8" spans="1:7" x14ac:dyDescent="0.15">
      <c r="A8" t="str">
        <f>HYPERLINK("./new_k5/query_cmdrels_weight_analyze/0.3_0.1_0.6/au_109070.xlsx","au_109070")</f>
        <v>au_109070</v>
      </c>
      <c r="B8">
        <v>0</v>
      </c>
      <c r="C8">
        <v>0</v>
      </c>
      <c r="D8">
        <v>0.23333333333333331</v>
      </c>
      <c r="E8">
        <v>0.23333333333333331</v>
      </c>
      <c r="F8">
        <v>0.3833333333333333</v>
      </c>
      <c r="G8">
        <v>0.23333333333333331</v>
      </c>
    </row>
    <row r="9" spans="1:7" x14ac:dyDescent="0.15">
      <c r="A9" t="str">
        <f>HYPERLINK("./new_k5/query_cmdrels_weight_analyze/0.3_0.1_0.6/au_109381.xlsx","au_109381")</f>
        <v>au_109381</v>
      </c>
      <c r="B9">
        <v>0</v>
      </c>
      <c r="C9">
        <v>0</v>
      </c>
      <c r="D9">
        <v>0.25</v>
      </c>
      <c r="E9">
        <v>0.25</v>
      </c>
      <c r="F9">
        <v>0.25</v>
      </c>
      <c r="G9">
        <v>0.25</v>
      </c>
    </row>
    <row r="10" spans="1:7" x14ac:dyDescent="0.15">
      <c r="A10" t="str">
        <f>HYPERLINK("./new_k5/query_cmdrels_weight_analyze/0.3_0.1_0.6/au_110477.xlsx","au_110477")</f>
        <v>au_110477</v>
      </c>
      <c r="B10">
        <v>0.25</v>
      </c>
      <c r="C10">
        <v>0.25</v>
      </c>
      <c r="D10">
        <v>0.5</v>
      </c>
      <c r="E10">
        <v>0.5</v>
      </c>
      <c r="F10">
        <v>0.5</v>
      </c>
      <c r="G10">
        <v>0.5</v>
      </c>
    </row>
    <row r="11" spans="1:7" x14ac:dyDescent="0.15">
      <c r="A11" t="str">
        <f>HYPERLINK("./new_k5/query_cmdrels_weight_analyze/0.3_0.1_0.6/au_111678.xlsx","au_111678")</f>
        <v>au_111678</v>
      </c>
      <c r="B11">
        <v>0</v>
      </c>
      <c r="C11">
        <v>0</v>
      </c>
      <c r="D11">
        <v>0.1111111111111111</v>
      </c>
      <c r="E11">
        <v>0.16666666666666671</v>
      </c>
      <c r="F11">
        <v>0.1111111111111111</v>
      </c>
      <c r="G11">
        <v>0.16666666666666671</v>
      </c>
    </row>
    <row r="12" spans="1:7" x14ac:dyDescent="0.15">
      <c r="A12" t="str">
        <f>HYPERLINK("./new_k5/query_cmdrels_weight_analyze/0.3_0.1_0.6/au_112512.xlsx","au_112512")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HYPERLINK("./new_k5/query_cmdrels_weight_analyze/0.3_0.1_0.6/au_115369.xlsx","au_115369")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HYPERLINK("./new_k5/query_cmdrels_weight_analyze/0.3_0.1_0.6/au_11789.xlsx","au_11789")</f>
        <v>au_11789</v>
      </c>
      <c r="B14">
        <v>0</v>
      </c>
      <c r="C14">
        <v>0</v>
      </c>
      <c r="D14">
        <v>0</v>
      </c>
      <c r="E14">
        <v>0.25</v>
      </c>
      <c r="F14">
        <v>0</v>
      </c>
      <c r="G14">
        <v>0.25</v>
      </c>
    </row>
    <row r="15" spans="1:7" x14ac:dyDescent="0.15">
      <c r="A15" t="str">
        <f>HYPERLINK("./new_k5/query_cmdrels_weight_analyze/0.3_0.1_0.6/au_117950.xlsx","au_117950")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</v>
      </c>
    </row>
    <row r="16" spans="1:7" x14ac:dyDescent="0.15">
      <c r="A16" t="str">
        <f>HYPERLINK("./new_k5/query_cmdrels_weight_analyze/0.3_0.1_0.6/au_122113.xlsx","au_122113")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HYPERLINK("./new_k5/query_cmdrels_weight_analyze/0.3_0.1_0.6/au_123798.xlsx","au_123798")</f>
        <v>au_123798</v>
      </c>
      <c r="B17">
        <v>0</v>
      </c>
      <c r="C17">
        <v>0</v>
      </c>
      <c r="D17">
        <v>5.5555555555555552E-2</v>
      </c>
      <c r="E17">
        <v>0.19444444444444439</v>
      </c>
      <c r="F17">
        <v>0.23888888888888879</v>
      </c>
      <c r="G17">
        <v>0.31944444444444442</v>
      </c>
    </row>
    <row r="18" spans="1:7" x14ac:dyDescent="0.15">
      <c r="A18" t="str">
        <f>HYPERLINK("./new_k5/query_cmdrels_weight_analyze/0.3_0.1_0.6/au_125257.xlsx","au_125257")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HYPERLINK("./new_k5/query_cmdrels_weight_analyze/0.3_0.1_0.6/au_126153.xlsx","au_126153")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0.5</v>
      </c>
      <c r="F19">
        <v>0.45833333333333331</v>
      </c>
      <c r="G19">
        <v>0.83333333333333337</v>
      </c>
    </row>
    <row r="20" spans="1:7" x14ac:dyDescent="0.15">
      <c r="A20" t="str">
        <f>HYPERLINK("./new_k5/query_cmdrels_weight_analyze/0.3_0.1_0.6/au_127326.xlsx","au_127326")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HYPERLINK("./new_k5/query_cmdrels_weight_analyze/0.3_0.1_0.6/au_128463.xlsx","au_128463")</f>
        <v>au_128463</v>
      </c>
      <c r="B21">
        <v>0.33333333333333331</v>
      </c>
      <c r="C21">
        <v>0.33333333333333331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HYPERLINK("./new_k5/query_cmdrels_weight_analyze/0.3_0.1_0.6/au_130393.xlsx","au_130393")</f>
        <v>au_130393</v>
      </c>
      <c r="B22">
        <v>0</v>
      </c>
      <c r="C22">
        <v>0</v>
      </c>
      <c r="D22">
        <v>0.125</v>
      </c>
      <c r="E22">
        <v>0.125</v>
      </c>
      <c r="F22">
        <v>0.125</v>
      </c>
      <c r="G22">
        <v>0.25</v>
      </c>
    </row>
    <row r="23" spans="1:7" x14ac:dyDescent="0.15">
      <c r="A23" t="str">
        <f>HYPERLINK("./new_k5/query_cmdrels_weight_analyze/0.3_0.1_0.6/au_131570.xlsx","au_131570")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HYPERLINK("./new_k5/query_cmdrels_weight_analyze/0.3_0.1_0.6/au_133318.xlsx","au_133318")</f>
        <v>au_133318</v>
      </c>
      <c r="B24">
        <v>0</v>
      </c>
      <c r="C24">
        <v>0.25</v>
      </c>
      <c r="D24">
        <v>0</v>
      </c>
      <c r="E24">
        <v>0.25</v>
      </c>
      <c r="F24">
        <v>0</v>
      </c>
      <c r="G24">
        <v>0.35</v>
      </c>
    </row>
    <row r="25" spans="1:7" x14ac:dyDescent="0.15">
      <c r="A25" t="str">
        <f>HYPERLINK("./new_k5/query_cmdrels_weight_analyze/0.3_0.1_0.6/au_133343.xlsx","au_133343")</f>
        <v>au_133343</v>
      </c>
      <c r="B25">
        <v>0</v>
      </c>
      <c r="C25">
        <v>0</v>
      </c>
      <c r="D25">
        <v>0</v>
      </c>
      <c r="E25">
        <v>0</v>
      </c>
      <c r="F25">
        <v>0</v>
      </c>
      <c r="G25">
        <v>0.2166666666666667</v>
      </c>
    </row>
    <row r="26" spans="1:7" x14ac:dyDescent="0.15">
      <c r="A26" t="str">
        <f>HYPERLINK("./new_k5/query_cmdrels_weight_analyze/0.3_0.1_0.6/au_133389.xlsx","au_133389")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HYPERLINK("./new_k5/query_cmdrels_weight_analyze/0.3_0.1_0.6/au_141277.xlsx","au_141277")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HYPERLINK("./new_k5/query_cmdrels_weight_analyze/0.3_0.1_0.6/au_143819.xlsx","au_143819")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HYPERLINK("./new_k5/query_cmdrels_weight_analyze/0.3_0.1_0.6/au_145935.xlsx","au_145935")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HYPERLINK("./new_k5/query_cmdrels_weight_analyze/0.3_0.1_0.6/au_147241.xlsx","au_147241")</f>
        <v>au_147241</v>
      </c>
      <c r="B30">
        <v>0</v>
      </c>
      <c r="C30">
        <v>0</v>
      </c>
      <c r="D30">
        <v>0.29166666666666657</v>
      </c>
      <c r="E30">
        <v>0.29166666666666657</v>
      </c>
      <c r="F30">
        <v>0.29166666666666657</v>
      </c>
      <c r="G30">
        <v>0.47916666666666657</v>
      </c>
    </row>
    <row r="31" spans="1:7" x14ac:dyDescent="0.15">
      <c r="A31" t="str">
        <f>HYPERLINK("./new_k5/query_cmdrels_weight_analyze/0.3_0.1_0.6/au_147800.xlsx","au_147800")</f>
        <v>au_147800</v>
      </c>
      <c r="B31">
        <v>0</v>
      </c>
      <c r="C31">
        <v>0</v>
      </c>
      <c r="D31">
        <v>0.1111111111111111</v>
      </c>
      <c r="E31">
        <v>0.1111111111111111</v>
      </c>
      <c r="F31">
        <v>0.1111111111111111</v>
      </c>
      <c r="G31">
        <v>0.1111111111111111</v>
      </c>
    </row>
    <row r="32" spans="1:7" x14ac:dyDescent="0.15">
      <c r="A32" t="str">
        <f>HYPERLINK("./new_k5/query_cmdrels_weight_analyze/0.3_0.1_0.6/au_148321.xlsx","au_148321")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0.40277777777777768</v>
      </c>
    </row>
    <row r="33" spans="1:7" x14ac:dyDescent="0.15">
      <c r="A33" t="str">
        <f>HYPERLINK("./new_k5/query_cmdrels_weight_analyze/0.3_0.1_0.6/au_148638.xlsx","au_148638")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HYPERLINK("./new_k5/query_cmdrels_weight_analyze/0.3_0.1_0.6/au_151049.xlsx","au_151049")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0.55555555555555547</v>
      </c>
      <c r="F34">
        <v>0.66666666666666663</v>
      </c>
      <c r="G34">
        <v>0.55555555555555547</v>
      </c>
    </row>
    <row r="35" spans="1:7" x14ac:dyDescent="0.15">
      <c r="A35" t="str">
        <f>HYPERLINK("./new_k5/query_cmdrels_weight_analyze/0.3_0.1_0.6/au_151941.xlsx","au_151941")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HYPERLINK("./new_k5/query_cmdrels_weight_analyze/0.3_0.1_0.6/au_152297.xlsx","au_152297")</f>
        <v>au_152297</v>
      </c>
      <c r="B36">
        <v>0</v>
      </c>
      <c r="C36">
        <v>0</v>
      </c>
      <c r="D36">
        <v>7.1428571428571425E-2</v>
      </c>
      <c r="E36">
        <v>0.16666666666666671</v>
      </c>
      <c r="F36">
        <v>7.1428571428571425E-2</v>
      </c>
      <c r="G36">
        <v>0.27380952380952378</v>
      </c>
    </row>
    <row r="37" spans="1:7" x14ac:dyDescent="0.15">
      <c r="A37" t="str">
        <f>HYPERLINK("./new_k5/query_cmdrels_weight_analyze/0.3_0.1_0.6/au_153976.xlsx","au_153976")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0.16666666666666671</v>
      </c>
      <c r="F37">
        <v>0.33333333333333331</v>
      </c>
      <c r="G37">
        <v>0.25</v>
      </c>
    </row>
    <row r="38" spans="1:7" x14ac:dyDescent="0.15">
      <c r="A38" t="str">
        <f>HYPERLINK("./new_k5/query_cmdrels_weight_analyze/0.3_0.1_0.6/au_154431.xlsx","au_154431")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HYPERLINK("./new_k5/query_cmdrels_weight_analyze/0.3_0.1_0.6/au_159708.xlsx","au_159708")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0.33333333333333331</v>
      </c>
      <c r="F39">
        <v>0.33333333333333331</v>
      </c>
      <c r="G39">
        <v>0.33333333333333331</v>
      </c>
    </row>
    <row r="40" spans="1:7" x14ac:dyDescent="0.15">
      <c r="A40" t="str">
        <f>HYPERLINK("./new_k5/query_cmdrels_weight_analyze/0.3_0.1_0.6/au_160869.xlsx","au_160869")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HYPERLINK("./new_k5/query_cmdrels_weight_analyze/0.3_0.1_0.6/au_161313.xlsx","au_161313")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</v>
      </c>
    </row>
    <row r="42" spans="1:7" x14ac:dyDescent="0.15">
      <c r="A42" t="str">
        <f>HYPERLINK("./new_k5/query_cmdrels_weight_analyze/0.3_0.1_0.6/au_162075.xlsx","au_162075")</f>
        <v>au_162075</v>
      </c>
      <c r="B42">
        <v>0.25</v>
      </c>
      <c r="C42">
        <v>0.25</v>
      </c>
      <c r="D42">
        <v>0.5</v>
      </c>
      <c r="E42">
        <v>0.5</v>
      </c>
      <c r="F42">
        <v>0.5</v>
      </c>
      <c r="G42">
        <v>0.5</v>
      </c>
    </row>
    <row r="43" spans="1:7" x14ac:dyDescent="0.15">
      <c r="A43" t="str">
        <f>HYPERLINK("./new_k5/query_cmdrels_weight_analyze/0.3_0.1_0.6/au_16277.xlsx","au_16277")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0.66666666666666663</v>
      </c>
    </row>
    <row r="44" spans="1:7" x14ac:dyDescent="0.15">
      <c r="A44" t="str">
        <f>HYPERLINK("./new_k5/query_cmdrels_weight_analyze/0.3_0.1_0.6/au_163155.xlsx","au_163155")</f>
        <v>au_163155</v>
      </c>
      <c r="B44">
        <v>0.125</v>
      </c>
      <c r="C44">
        <v>0.125</v>
      </c>
      <c r="D44">
        <v>0.375</v>
      </c>
      <c r="E44">
        <v>0.25</v>
      </c>
      <c r="F44">
        <v>0.5</v>
      </c>
      <c r="G44">
        <v>0.34375</v>
      </c>
    </row>
    <row r="45" spans="1:7" x14ac:dyDescent="0.15">
      <c r="A45" t="str">
        <f>HYPERLINK("./new_k5/query_cmdrels_weight_analyze/0.3_0.1_0.6/au_164473.xlsx","au_164473")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0.04</v>
      </c>
    </row>
    <row r="46" spans="1:7" x14ac:dyDescent="0.15">
      <c r="A46" t="str">
        <f>HYPERLINK("./new_k5/query_cmdrels_weight_analyze/0.3_0.1_0.6/au_16584.xlsx","au_16584")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0.15151515151515149</v>
      </c>
      <c r="F46">
        <v>0.13636363636363641</v>
      </c>
      <c r="G46">
        <v>0.2196969696969697</v>
      </c>
    </row>
    <row r="47" spans="1:7" x14ac:dyDescent="0.15">
      <c r="A47" t="str">
        <f>HYPERLINK("./new_k5/query_cmdrels_weight_analyze/0.3_0.1_0.6/au_166420.xlsx","au_166420")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HYPERLINK("./new_k5/query_cmdrels_weight_analyze/0.3_0.1_0.6/au_169473.xlsx","au_169473")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0.16666666666666671</v>
      </c>
      <c r="F48">
        <v>0.43333333333333329</v>
      </c>
      <c r="G48">
        <v>0.35</v>
      </c>
    </row>
    <row r="49" spans="1:7" x14ac:dyDescent="0.15">
      <c r="A49" t="str">
        <f>HYPERLINK("./new_k5/query_cmdrels_weight_analyze/0.3_0.1_0.6/au_169516.xlsx","au_169516")</f>
        <v>au_169516</v>
      </c>
      <c r="B49">
        <v>0.25</v>
      </c>
      <c r="C49">
        <v>0</v>
      </c>
      <c r="D49">
        <v>0.25</v>
      </c>
      <c r="E49">
        <v>0.125</v>
      </c>
      <c r="F49">
        <v>0.25</v>
      </c>
      <c r="G49">
        <v>0.25</v>
      </c>
    </row>
    <row r="50" spans="1:7" x14ac:dyDescent="0.15">
      <c r="A50" t="str">
        <f>HYPERLINK("./new_k5/query_cmdrels_weight_analyze/0.3_0.1_0.6/au_174292.xlsx","au_174292")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0.25</v>
      </c>
    </row>
    <row r="51" spans="1:7" x14ac:dyDescent="0.15">
      <c r="A51" t="str">
        <f>HYPERLINK("./new_k5/query_cmdrels_weight_analyze/0.3_0.1_0.6/au_178481.xlsx","au_178481")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HYPERLINK("./new_k5/query_cmdrels_weight_analyze/0.3_0.1_0.6/au_180925.xlsx","au_180925")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HYPERLINK("./new_k5/query_cmdrels_weight_analyze/0.3_0.1_0.6/au_187888.xlsx","au_187888")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HYPERLINK("./new_k5/query_cmdrels_weight_analyze/0.3_0.1_0.6/au_191390.xlsx","au_191390")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HYPERLINK("./new_k5/query_cmdrels_weight_analyze/0.3_0.1_0.6/au_192798.xlsx","au_192798")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HYPERLINK("./new_k5/query_cmdrels_weight_analyze/0.3_0.1_0.6/au_201775.xlsx","au_201775")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0.66666666666666663</v>
      </c>
      <c r="F56">
        <v>0.66666666666666663</v>
      </c>
      <c r="G56">
        <v>0.8666666666666667</v>
      </c>
    </row>
    <row r="57" spans="1:7" x14ac:dyDescent="0.15">
      <c r="A57" t="str">
        <f>HYPERLINK("./new_k5/query_cmdrels_weight_analyze/0.3_0.1_0.6/au_204166.xlsx","au_204166")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0.8</v>
      </c>
    </row>
    <row r="58" spans="1:7" x14ac:dyDescent="0.15">
      <c r="A58" t="str">
        <f>HYPERLINK("./new_k5/query_cmdrels_weight_analyze/0.3_0.1_0.6/au_207447.xlsx","au_207447")</f>
        <v>au_207447</v>
      </c>
      <c r="B58">
        <v>0.33333333333333331</v>
      </c>
      <c r="C58">
        <v>0.33333333333333331</v>
      </c>
      <c r="D58">
        <v>0.33333333333333331</v>
      </c>
      <c r="E58">
        <v>0.33333333333333331</v>
      </c>
      <c r="F58">
        <v>0.33333333333333331</v>
      </c>
      <c r="G58">
        <v>0.33333333333333331</v>
      </c>
    </row>
    <row r="59" spans="1:7" x14ac:dyDescent="0.15">
      <c r="A59" t="str">
        <f>HYPERLINK("./new_k5/query_cmdrels_weight_analyze/0.3_0.1_0.6/au_210680.xlsx","au_210680")</f>
        <v>au_210680</v>
      </c>
      <c r="B59">
        <v>0.2</v>
      </c>
      <c r="C59">
        <v>0.2</v>
      </c>
      <c r="D59">
        <v>0.6</v>
      </c>
      <c r="E59">
        <v>0.4</v>
      </c>
      <c r="F59">
        <v>0.6</v>
      </c>
      <c r="G59">
        <v>0.55000000000000004</v>
      </c>
    </row>
    <row r="60" spans="1:7" x14ac:dyDescent="0.15">
      <c r="A60" t="str">
        <f>HYPERLINK("./new_k5/query_cmdrels_weight_analyze/0.3_0.1_0.6/au_214246.xlsx","au_214246")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HYPERLINK("./new_k5/query_cmdrels_weight_analyze/0.3_0.1_0.6/au_214643.xlsx","au_214643")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HYPERLINK("./new_k5/query_cmdrels_weight_analyze/0.3_0.1_0.6/au_2194.xlsx","au_2194")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0.12857142857142859</v>
      </c>
    </row>
    <row r="63" spans="1:7" x14ac:dyDescent="0.15">
      <c r="A63" t="str">
        <f>HYPERLINK("./new_k5/query_cmdrels_weight_analyze/0.3_0.1_0.6/au_221962.xlsx","au_221962")</f>
        <v>au_221962</v>
      </c>
      <c r="B63">
        <v>0</v>
      </c>
      <c r="C63">
        <v>0</v>
      </c>
      <c r="D63">
        <v>5.5555555555555552E-2</v>
      </c>
      <c r="E63">
        <v>5.5555555555555552E-2</v>
      </c>
      <c r="F63">
        <v>0.1388888888888889</v>
      </c>
      <c r="G63">
        <v>0.1388888888888889</v>
      </c>
    </row>
    <row r="64" spans="1:7" x14ac:dyDescent="0.15">
      <c r="A64" t="str">
        <f>HYPERLINK("./new_k5/query_cmdrels_weight_analyze/0.3_0.1_0.6/au_22608.xlsx","au_22608")</f>
        <v>au_22608</v>
      </c>
      <c r="B64">
        <v>0.33333333333333331</v>
      </c>
      <c r="C64">
        <v>0</v>
      </c>
      <c r="D64">
        <v>0.33333333333333331</v>
      </c>
      <c r="E64">
        <v>0.16666666666666671</v>
      </c>
      <c r="F64">
        <v>0.33333333333333331</v>
      </c>
      <c r="G64">
        <v>0.33333333333333331</v>
      </c>
    </row>
    <row r="65" spans="1:7" x14ac:dyDescent="0.15">
      <c r="A65" t="str">
        <f>HYPERLINK("./new_k5/query_cmdrels_weight_analyze/0.3_0.1_0.6/au_230698.xlsx","au_230698")</f>
        <v>au_230698</v>
      </c>
      <c r="B65">
        <v>0.125</v>
      </c>
      <c r="C65">
        <v>0.125</v>
      </c>
      <c r="D65">
        <v>0.25</v>
      </c>
      <c r="E65">
        <v>0.20833333333333329</v>
      </c>
      <c r="F65">
        <v>0.32500000000000001</v>
      </c>
      <c r="G65">
        <v>0.28333333333333333</v>
      </c>
    </row>
    <row r="66" spans="1:7" x14ac:dyDescent="0.15">
      <c r="A66" t="str">
        <f>HYPERLINK("./new_k5/query_cmdrels_weight_analyze/0.3_0.1_0.6/au_232442.xlsx","au_232442")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HYPERLINK("./new_k5/query_cmdrels_weight_analyze/0.3_0.1_0.6/au_233378.xlsx","au_233378")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HYPERLINK("./new_k5/query_cmdrels_weight_analyze/0.3_0.1_0.6/au_24027.xlsx","au_24027")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HYPERLINK("./new_k5/query_cmdrels_weight_analyze/0.3_0.1_0.6/au_246647.xlsx","au_246647")</f>
        <v>au_246647</v>
      </c>
      <c r="B69">
        <v>0.125</v>
      </c>
      <c r="C69">
        <v>0.125</v>
      </c>
      <c r="D69">
        <v>0.375</v>
      </c>
      <c r="E69">
        <v>0.375</v>
      </c>
      <c r="F69">
        <v>0.47499999999999998</v>
      </c>
      <c r="G69">
        <v>0.375</v>
      </c>
    </row>
    <row r="70" spans="1:7" x14ac:dyDescent="0.15">
      <c r="A70" t="str">
        <f>HYPERLINK("./new_k5/query_cmdrels_weight_analyze/0.3_0.1_0.6/au_254424.xlsx","au_254424")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HYPERLINK("./new_k5/query_cmdrels_weight_analyze/0.3_0.1_0.6/au_255890.xlsx","au_255890")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HYPERLINK("./new_k5/query_cmdrels_weight_analyze/0.3_0.1_0.6/au_257248.xlsx","au_257248")</f>
        <v>au_257248</v>
      </c>
      <c r="B72">
        <v>0</v>
      </c>
      <c r="C72">
        <v>0.14285714285714279</v>
      </c>
      <c r="D72">
        <v>0.16666666666666671</v>
      </c>
      <c r="E72">
        <v>0.23809523809523811</v>
      </c>
      <c r="F72">
        <v>0.25238095238095237</v>
      </c>
      <c r="G72">
        <v>0.32380952380952382</v>
      </c>
    </row>
    <row r="73" spans="1:7" x14ac:dyDescent="0.15">
      <c r="A73" t="str">
        <f>HYPERLINK("./new_k5/query_cmdrels_weight_analyze/0.3_0.1_0.6/au_259354.xlsx","au_259354")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0.5714285714285714</v>
      </c>
    </row>
    <row r="74" spans="1:7" x14ac:dyDescent="0.15">
      <c r="A74" t="str">
        <f>HYPERLINK("./new_k5/query_cmdrels_weight_analyze/0.3_0.1_0.6/au_263378.xlsx","au_263378")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0.47499999999999998</v>
      </c>
    </row>
    <row r="75" spans="1:7" x14ac:dyDescent="0.15">
      <c r="A75" t="str">
        <f>HYPERLINK("./new_k5/query_cmdrels_weight_analyze/0.3_0.1_0.6/au_264215.xlsx","au_264215")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HYPERLINK("./new_k5/query_cmdrels_weight_analyze/0.3_0.1_0.6/au_265176.xlsx","au_265176")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HYPERLINK("./new_k5/query_cmdrels_weight_analyze/0.3_0.1_0.6/au_275704.xlsx","au_275704")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HYPERLINK("./new_k5/query_cmdrels_weight_analyze/0.3_0.1_0.6/au_276669.xlsx","au_276669")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HYPERLINK("./new_k5/query_cmdrels_weight_analyze/0.3_0.1_0.6/au_277565.xlsx","au_277565")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HYPERLINK("./new_k5/query_cmdrels_weight_analyze/0.3_0.1_0.6/au_278403.xlsx","au_278403")</f>
        <v>au_278403</v>
      </c>
      <c r="B80">
        <v>0</v>
      </c>
      <c r="C80">
        <v>0</v>
      </c>
      <c r="D80">
        <v>8.3333333333333329E-2</v>
      </c>
      <c r="E80">
        <v>8.3333333333333329E-2</v>
      </c>
      <c r="F80">
        <v>0.20833333333333329</v>
      </c>
      <c r="G80">
        <v>0.20833333333333329</v>
      </c>
    </row>
    <row r="81" spans="1:7" x14ac:dyDescent="0.15">
      <c r="A81" t="str">
        <f>HYPERLINK("./new_k5/query_cmdrels_weight_analyze/0.3_0.1_0.6/au_28039.xlsx","au_28039")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HYPERLINK("./new_k5/query_cmdrels_weight_analyze/0.3_0.1_0.6/au_281509.xlsx","au_281509")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HYPERLINK("./new_k5/query_cmdrels_weight_analyze/0.3_0.1_0.6/au_282806.xlsx","au_282806")</f>
        <v>au_282806</v>
      </c>
      <c r="B83">
        <v>0</v>
      </c>
      <c r="C83">
        <v>0</v>
      </c>
      <c r="D83">
        <v>0.38888888888888878</v>
      </c>
      <c r="E83">
        <v>0</v>
      </c>
      <c r="F83">
        <v>0.38888888888888878</v>
      </c>
      <c r="G83">
        <v>8.3333333333333329E-2</v>
      </c>
    </row>
    <row r="84" spans="1:7" x14ac:dyDescent="0.15">
      <c r="A84" t="str">
        <f>HYPERLINK("./new_k5/query_cmdrels_weight_analyze/0.3_0.1_0.6/au_283559.xlsx","au_283559")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HYPERLINK("./new_k5/query_cmdrels_weight_analyze/0.3_0.1_0.6/au_285539.xlsx","au_285539")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HYPERLINK("./new_k5/query_cmdrels_weight_analyze/0.3_0.1_0.6/au_287532.xlsx","au_287532")</f>
        <v>au_287532</v>
      </c>
      <c r="B86">
        <v>0</v>
      </c>
      <c r="C86">
        <v>0</v>
      </c>
      <c r="D86">
        <v>0</v>
      </c>
      <c r="E86">
        <v>0.125</v>
      </c>
      <c r="F86">
        <v>0</v>
      </c>
      <c r="G86">
        <v>0.125</v>
      </c>
    </row>
    <row r="87" spans="1:7" x14ac:dyDescent="0.15">
      <c r="A87" t="str">
        <f>HYPERLINK("./new_k5/query_cmdrels_weight_analyze/0.3_0.1_0.6/au_294257.xlsx","au_294257")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HYPERLINK("./new_k5/query_cmdrels_weight_analyze/0.3_0.1_0.6/au_296155.xlsx","au_296155")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HYPERLINK("./new_k5/query_cmdrels_weight_analyze/0.3_0.1_0.6/au_299975.xlsx","au_299975")</f>
        <v>au_299975</v>
      </c>
      <c r="B89">
        <v>0.25</v>
      </c>
      <c r="C89">
        <v>0</v>
      </c>
      <c r="D89">
        <v>0.5</v>
      </c>
      <c r="E89">
        <v>8.3333333333333329E-2</v>
      </c>
      <c r="F89">
        <v>0.6875</v>
      </c>
      <c r="G89">
        <v>8.3333333333333329E-2</v>
      </c>
    </row>
    <row r="90" spans="1:7" x14ac:dyDescent="0.15">
      <c r="A90" t="str">
        <f>HYPERLINK("./new_k5/query_cmdrels_weight_analyze/0.3_0.1_0.6/au_301096.xlsx","au_301096")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HYPERLINK("./new_k5/query_cmdrels_weight_analyze/0.3_0.1_0.6/au_303593.xlsx","au_303593")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HYPERLINK("./new_k5/query_cmdrels_weight_analyze/0.3_0.1_0.6/au_303849.xlsx","au_303849")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HYPERLINK("./new_k5/query_cmdrels_weight_analyze/0.3_0.1_0.6/au_307541.xlsx","au_307541")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HYPERLINK("./new_k5/query_cmdrels_weight_analyze/0.3_0.1_0.6/au_307688.xlsx","au_307688")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HYPERLINK("./new_k5/query_cmdrels_weight_analyze/0.3_0.1_0.6/au_309047.xlsx","au_309047")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HYPERLINK("./new_k5/query_cmdrels_weight_analyze/0.3_0.1_0.6/au_311558.xlsx","au_311558")</f>
        <v>au_311558</v>
      </c>
      <c r="B96">
        <v>0</v>
      </c>
      <c r="C96">
        <v>0.25</v>
      </c>
      <c r="D96">
        <v>0.29166666666666657</v>
      </c>
      <c r="E96">
        <v>0.25</v>
      </c>
      <c r="F96">
        <v>0.29166666666666657</v>
      </c>
      <c r="G96">
        <v>0.52500000000000002</v>
      </c>
    </row>
    <row r="97" spans="1:7" x14ac:dyDescent="0.15">
      <c r="A97" t="str">
        <f>HYPERLINK("./new_k5/query_cmdrels_weight_analyze/0.3_0.1_0.6/au_318973.xlsx","au_318973")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HYPERLINK("./new_k5/query_cmdrels_weight_analyze/0.3_0.1_0.6/au_3205.xlsx","au_3205")</f>
        <v>au_3205</v>
      </c>
      <c r="B98">
        <v>0.5</v>
      </c>
      <c r="C98">
        <v>0.5</v>
      </c>
      <c r="D98">
        <v>0.5</v>
      </c>
      <c r="E98">
        <v>0.5</v>
      </c>
      <c r="F98">
        <v>0.5</v>
      </c>
      <c r="G98">
        <v>0.5</v>
      </c>
    </row>
    <row r="99" spans="1:7" x14ac:dyDescent="0.15">
      <c r="A99" t="str">
        <f>HYPERLINK("./new_k5/query_cmdrels_weight_analyze/0.3_0.1_0.6/au_323131.xlsx","au_323131")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0.55555555555555547</v>
      </c>
      <c r="F99">
        <v>0.33333333333333331</v>
      </c>
      <c r="G99">
        <v>0.55555555555555547</v>
      </c>
    </row>
    <row r="100" spans="1:7" x14ac:dyDescent="0.15">
      <c r="A100" t="str">
        <f>HYPERLINK("./new_k5/query_cmdrels_weight_analyze/0.3_0.1_0.6/au_323392.xlsx","au_323392")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HYPERLINK("./new_k5/query_cmdrels_weight_analyze/0.3_0.1_0.6/au_325368.xlsx","au_325368")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HYPERLINK("./new_k5/query_cmdrels_weight_analyze/0.3_0.1_0.6/au_328162.xlsx","au_328162")</f>
        <v>au_328162</v>
      </c>
      <c r="B102">
        <v>0.33333333333333331</v>
      </c>
      <c r="C102">
        <v>0.33333333333333331</v>
      </c>
      <c r="D102">
        <v>1</v>
      </c>
      <c r="E102">
        <v>0.66666666666666663</v>
      </c>
      <c r="F102">
        <v>1</v>
      </c>
      <c r="G102">
        <v>0.66666666666666663</v>
      </c>
    </row>
    <row r="103" spans="1:7" x14ac:dyDescent="0.15">
      <c r="A103" t="str">
        <f>HYPERLINK("./new_k5/query_cmdrels_weight_analyze/0.3_0.1_0.6/au_330148.xlsx","au_330148")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0.52</v>
      </c>
    </row>
    <row r="104" spans="1:7" x14ac:dyDescent="0.15">
      <c r="A104" t="str">
        <f>HYPERLINK("./new_k5/query_cmdrels_weight_analyze/0.3_0.1_0.6/au_332315.xlsx","au_332315")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HYPERLINK("./new_k5/query_cmdrels_weight_analyze/0.3_0.1_0.6/au_334081.xlsx","au_334081")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HYPERLINK("./new_k5/query_cmdrels_weight_analyze/0.3_0.1_0.6/au_34077.xlsx","au_34077")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0.33333333333333331</v>
      </c>
      <c r="F106">
        <v>0.33333333333333331</v>
      </c>
      <c r="G106">
        <v>0.59166666666666667</v>
      </c>
    </row>
    <row r="107" spans="1:7" x14ac:dyDescent="0.15">
      <c r="A107" t="str">
        <f>HYPERLINK("./new_k5/query_cmdrels_weight_analyze/0.3_0.1_0.6/au_341428.xlsx","au_341428")</f>
        <v>au_341428</v>
      </c>
      <c r="B107">
        <v>0.14285714285714279</v>
      </c>
      <c r="C107">
        <v>0</v>
      </c>
      <c r="D107">
        <v>0.42857142857142849</v>
      </c>
      <c r="E107">
        <v>0.16666666666666671</v>
      </c>
      <c r="F107">
        <v>0.5714285714285714</v>
      </c>
      <c r="G107">
        <v>0.25238095238095237</v>
      </c>
    </row>
    <row r="108" spans="1:7" x14ac:dyDescent="0.15">
      <c r="A108" t="str">
        <f>HYPERLINK("./new_k5/query_cmdrels_weight_analyze/0.3_0.1_0.6/au_341584.xlsx","au_341584")</f>
        <v>au_341584</v>
      </c>
      <c r="B108">
        <v>0.25</v>
      </c>
      <c r="C108">
        <v>0.25</v>
      </c>
      <c r="D108">
        <v>0.5</v>
      </c>
      <c r="E108">
        <v>0.25</v>
      </c>
      <c r="F108">
        <v>0.5</v>
      </c>
      <c r="G108">
        <v>0.25</v>
      </c>
    </row>
    <row r="109" spans="1:7" x14ac:dyDescent="0.15">
      <c r="A109" t="str">
        <f>HYPERLINK("./new_k5/query_cmdrels_weight_analyze/0.3_0.1_0.6/au_346864.xlsx","au_346864")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0.2857142857142857</v>
      </c>
      <c r="F109">
        <v>0.23809523809523811</v>
      </c>
      <c r="G109">
        <v>0.39285714285714279</v>
      </c>
    </row>
    <row r="110" spans="1:7" x14ac:dyDescent="0.15">
      <c r="A110" t="str">
        <f>HYPERLINK("./new_k5/query_cmdrels_weight_analyze/0.3_0.1_0.6/au_351765.xlsx","au_351765")</f>
        <v>au_351765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15">
      <c r="A111" t="str">
        <f>HYPERLINK("./new_k5/query_cmdrels_weight_analyze/0.3_0.1_0.6/au_35922.xlsx","au_35922")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HYPERLINK("./new_k5/query_cmdrels_weight_analyze/0.3_0.1_0.6/au_359856.xlsx","au_359856")</f>
        <v>au_359856</v>
      </c>
      <c r="B112">
        <v>0.25</v>
      </c>
      <c r="C112">
        <v>0.25</v>
      </c>
      <c r="D112">
        <v>0.75</v>
      </c>
      <c r="E112">
        <v>0.5</v>
      </c>
      <c r="F112">
        <v>0.95</v>
      </c>
      <c r="G112">
        <v>0.5</v>
      </c>
    </row>
    <row r="113" spans="1:7" x14ac:dyDescent="0.15">
      <c r="A113" t="str">
        <f>HYPERLINK("./new_k5/query_cmdrels_weight_analyze/0.3_0.1_0.6/au_360423.xlsx","au_360423")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HYPERLINK("./new_k5/query_cmdrels_weight_analyze/0.3_0.1_0.6/au_36287.xlsx","au_36287")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HYPERLINK("./new_k5/query_cmdrels_weight_analyze/0.3_0.1_0.6/au_366742.xlsx","au_366742")</f>
        <v>au_366742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0.05</v>
      </c>
    </row>
    <row r="116" spans="1:7" x14ac:dyDescent="0.15">
      <c r="A116" t="str">
        <f>HYPERLINK("./new_k5/query_cmdrels_weight_analyze/0.3_0.1_0.6/au_377937.xlsx","au_377937")</f>
        <v>au_377937</v>
      </c>
      <c r="B116">
        <v>0.25</v>
      </c>
      <c r="C116">
        <v>0.25</v>
      </c>
      <c r="D116">
        <v>0.5</v>
      </c>
      <c r="E116">
        <v>0.75</v>
      </c>
      <c r="F116">
        <v>0.5</v>
      </c>
      <c r="G116">
        <v>0.75</v>
      </c>
    </row>
    <row r="117" spans="1:7" x14ac:dyDescent="0.15">
      <c r="A117" t="str">
        <f>HYPERLINK("./new_k5/query_cmdrels_weight_analyze/0.3_0.1_0.6/au_383997.xlsx","au_383997")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0.50714285714285712</v>
      </c>
    </row>
    <row r="118" spans="1:7" x14ac:dyDescent="0.15">
      <c r="A118" t="str">
        <f>HYPERLINK("./new_k5/query_cmdrels_weight_analyze/0.3_0.1_0.6/au_3883.xlsx","au_3883")</f>
        <v>au_3883</v>
      </c>
      <c r="B118">
        <v>0.25</v>
      </c>
      <c r="C118">
        <v>0.25</v>
      </c>
      <c r="D118">
        <v>0.25</v>
      </c>
      <c r="E118">
        <v>0.5</v>
      </c>
      <c r="F118">
        <v>0.375</v>
      </c>
      <c r="G118">
        <v>0.5</v>
      </c>
    </row>
    <row r="119" spans="1:7" x14ac:dyDescent="0.15">
      <c r="A119" t="str">
        <f>HYPERLINK("./new_k5/query_cmdrels_weight_analyze/0.3_0.1_0.6/au_396883.xlsx","au_396883")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HYPERLINK("./new_k5/query_cmdrels_weight_analyze/0.3_0.1_0.6/au_39760.xlsx","au_39760")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HYPERLINK("./new_k5/query_cmdrels_weight_analyze/0.3_0.1_0.6/au_398818.xlsx","au_398818")</f>
        <v>au_398818</v>
      </c>
      <c r="B121">
        <v>0.5</v>
      </c>
      <c r="C121">
        <v>0.5</v>
      </c>
      <c r="D121">
        <v>0.83333333333333326</v>
      </c>
      <c r="E121">
        <v>0.5</v>
      </c>
      <c r="F121">
        <v>0.83333333333333326</v>
      </c>
      <c r="G121">
        <v>0.75</v>
      </c>
    </row>
    <row r="122" spans="1:7" x14ac:dyDescent="0.15">
      <c r="A122" t="str">
        <f>HYPERLINK("./new_k5/query_cmdrels_weight_analyze/0.3_0.1_0.6/au_400807.xlsx","au_400807")</f>
        <v>au_400807</v>
      </c>
      <c r="B122">
        <v>0</v>
      </c>
      <c r="C122">
        <v>0.33333333333333331</v>
      </c>
      <c r="D122">
        <v>0.16666666666666671</v>
      </c>
      <c r="E122">
        <v>1</v>
      </c>
      <c r="F122">
        <v>0.16666666666666671</v>
      </c>
      <c r="G122">
        <v>1</v>
      </c>
    </row>
    <row r="123" spans="1:7" x14ac:dyDescent="0.15">
      <c r="A123" t="str">
        <f>HYPERLINK("./new_k5/query_cmdrels_weight_analyze/0.3_0.1_0.6/au_408611.xlsx","au_408611")</f>
        <v>au_408611</v>
      </c>
      <c r="B123">
        <v>0.33333333333333331</v>
      </c>
      <c r="C123">
        <v>0</v>
      </c>
      <c r="D123">
        <v>0.33333333333333331</v>
      </c>
      <c r="E123">
        <v>0.16666666666666671</v>
      </c>
      <c r="F123">
        <v>0.33333333333333331</v>
      </c>
      <c r="G123">
        <v>0.16666666666666671</v>
      </c>
    </row>
    <row r="124" spans="1:7" x14ac:dyDescent="0.15">
      <c r="A124" t="str">
        <f>HYPERLINK("./new_k5/query_cmdrels_weight_analyze/0.3_0.1_0.6/au_414737.xlsx","au_414737")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HYPERLINK("./new_k5/query_cmdrels_weight_analyze/0.3_0.1_0.6/au_420722.xlsx","au_420722")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HYPERLINK("./new_k5/query_cmdrels_weight_analyze/0.3_0.1_0.6/au_423942.xlsx","au_423942")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0.55555555555555547</v>
      </c>
      <c r="F126">
        <v>0.8666666666666667</v>
      </c>
      <c r="G126">
        <v>0.55555555555555547</v>
      </c>
    </row>
    <row r="127" spans="1:7" x14ac:dyDescent="0.15">
      <c r="A127" t="str">
        <f>HYPERLINK("./new_k5/query_cmdrels_weight_analyze/0.3_0.1_0.6/au_430382.xlsx","au_430382")</f>
        <v>au_430382</v>
      </c>
      <c r="B127">
        <v>0</v>
      </c>
      <c r="C127">
        <v>0.25</v>
      </c>
      <c r="D127">
        <v>0.29166666666666657</v>
      </c>
      <c r="E127">
        <v>0.25</v>
      </c>
      <c r="F127">
        <v>0.29166666666666657</v>
      </c>
      <c r="G127">
        <v>0.375</v>
      </c>
    </row>
    <row r="128" spans="1:7" x14ac:dyDescent="0.15">
      <c r="A128" t="str">
        <f>HYPERLINK("./new_k5/query_cmdrels_weight_analyze/0.3_0.1_0.6/au_432836.xlsx","au_432836")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HYPERLINK("./new_k5/query_cmdrels_weight_analyze/0.3_0.1_0.6/au_440326.xlsx","au_440326")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HYPERLINK("./new_k5/query_cmdrels_weight_analyze/0.3_0.1_0.6/au_442914.xlsx","au_442914")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HYPERLINK("./new_k5/query_cmdrels_weight_analyze/0.3_0.1_0.6/au_443227.xlsx","au_443227")</f>
        <v>au_443227</v>
      </c>
      <c r="B131">
        <v>0.5</v>
      </c>
      <c r="C131">
        <v>0</v>
      </c>
      <c r="D131">
        <v>0.5</v>
      </c>
      <c r="E131">
        <v>0.25</v>
      </c>
      <c r="F131">
        <v>0.5</v>
      </c>
      <c r="G131">
        <v>0.25</v>
      </c>
    </row>
    <row r="132" spans="1:7" x14ac:dyDescent="0.15">
      <c r="A132" t="str">
        <f>HYPERLINK("./new_k5/query_cmdrels_weight_analyze/0.3_0.1_0.6/au_44534.xlsx","au_44534")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HYPERLINK("./new_k5/query_cmdrels_weight_analyze/0.3_0.1_0.6/au_451805.xlsx","au_451805")</f>
        <v>au_451805</v>
      </c>
      <c r="B133">
        <v>0.33333333333333331</v>
      </c>
      <c r="C133">
        <v>0.33333333333333331</v>
      </c>
      <c r="D133">
        <v>0.33333333333333331</v>
      </c>
      <c r="E133">
        <v>0.33333333333333331</v>
      </c>
      <c r="F133">
        <v>0.33333333333333331</v>
      </c>
      <c r="G133">
        <v>0.33333333333333331</v>
      </c>
    </row>
    <row r="134" spans="1:7" x14ac:dyDescent="0.15">
      <c r="A134" t="str">
        <f>HYPERLINK("./new_k5/query_cmdrels_weight_analyze/0.3_0.1_0.6/au_464264.xlsx","au_464264")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6.6666666666666666E-2</v>
      </c>
    </row>
    <row r="135" spans="1:7" x14ac:dyDescent="0.15">
      <c r="A135" t="str">
        <f>HYPERLINK("./new_k5/query_cmdrels_weight_analyze/0.3_0.1_0.6/au_468808.xlsx","au_468808")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HYPERLINK("./new_k5/query_cmdrels_weight_analyze/0.3_0.1_0.6/au_469143.xlsx","au_469143")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0.33333333333333331</v>
      </c>
    </row>
    <row r="137" spans="1:7" x14ac:dyDescent="0.15">
      <c r="A137" t="str">
        <f>HYPERLINK("./new_k5/query_cmdrels_weight_analyze/0.3_0.1_0.6/au_470237.xlsx","au_470237")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HYPERLINK("./new_k5/query_cmdrels_weight_analyze/0.3_0.1_0.6/au_473037.xlsx","au_473037")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</v>
      </c>
    </row>
    <row r="139" spans="1:7" x14ac:dyDescent="0.15">
      <c r="A139" t="str">
        <f>HYPERLINK("./new_k5/query_cmdrels_weight_analyze/0.3_0.1_0.6/au_48362.xlsx","au_48362")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HYPERLINK("./new_k5/query_cmdrels_weight_analyze/0.3_0.1_0.6/au_488435.xlsx","au_488435")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HYPERLINK("./new_k5/query_cmdrels_weight_analyze/0.3_0.1_0.6/au_493826.xlsx","au_493826")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HYPERLINK("./new_k5/query_cmdrels_weight_analyze/0.3_0.1_0.6/au_502110.xlsx","au_502110")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HYPERLINK("./new_k5/query_cmdrels_weight_analyze/0.3_0.1_0.6/au_50344.xlsx","au_50344")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HYPERLINK("./new_k5/query_cmdrels_weight_analyze/0.3_0.1_0.6/au_511467.xlsx","au_511467")</f>
        <v>au_511467</v>
      </c>
      <c r="B144">
        <v>0</v>
      </c>
      <c r="C144">
        <v>0.16666666666666671</v>
      </c>
      <c r="D144">
        <v>0.19444444444444439</v>
      </c>
      <c r="E144">
        <v>0.16666666666666671</v>
      </c>
      <c r="F144">
        <v>0.19444444444444439</v>
      </c>
      <c r="G144">
        <v>0.16666666666666671</v>
      </c>
    </row>
    <row r="145" spans="1:7" x14ac:dyDescent="0.15">
      <c r="A145" t="str">
        <f>HYPERLINK("./new_k5/query_cmdrels_weight_analyze/0.3_0.1_0.6/au_513046.xlsx","au_513046")</f>
        <v>au_513046</v>
      </c>
      <c r="B145">
        <v>0.25</v>
      </c>
      <c r="C145">
        <v>0</v>
      </c>
      <c r="D145">
        <v>0.5</v>
      </c>
      <c r="E145">
        <v>0.29166666666666657</v>
      </c>
      <c r="F145">
        <v>0.5</v>
      </c>
      <c r="G145">
        <v>0.47916666666666657</v>
      </c>
    </row>
    <row r="146" spans="1:7" x14ac:dyDescent="0.15">
      <c r="A146" t="str">
        <f>HYPERLINK("./new_k5/query_cmdrels_weight_analyze/0.3_0.1_0.6/au_517354.xlsx","au_517354")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0.14285714285714279</v>
      </c>
      <c r="F146">
        <v>0.2142857142857143</v>
      </c>
      <c r="G146">
        <v>0.2142857142857143</v>
      </c>
    </row>
    <row r="147" spans="1:7" x14ac:dyDescent="0.15">
      <c r="A147" t="str">
        <f>HYPERLINK("./new_k5/query_cmdrels_weight_analyze/0.3_0.1_0.6/au_522431.xlsx","au_522431")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0.23333333333333331</v>
      </c>
    </row>
    <row r="148" spans="1:7" x14ac:dyDescent="0.15">
      <c r="A148" t="str">
        <f>HYPERLINK("./new_k5/query_cmdrels_weight_analyze/0.3_0.1_0.6/au_52773.xlsx","au_52773")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0.04</v>
      </c>
    </row>
    <row r="149" spans="1:7" x14ac:dyDescent="0.15">
      <c r="A149" t="str">
        <f>HYPERLINK("./new_k5/query_cmdrels_weight_analyze/0.3_0.1_0.6/au_528411.xlsx","au_528411")</f>
        <v>au_528411</v>
      </c>
      <c r="B149">
        <v>0</v>
      </c>
      <c r="C149">
        <v>0.5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HYPERLINK("./new_k5/query_cmdrels_weight_analyze/0.3_0.1_0.6/au_53263.xlsx","au_53263")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0.75</v>
      </c>
    </row>
    <row r="151" spans="1:7" x14ac:dyDescent="0.15">
      <c r="A151" t="str">
        <f>HYPERLINK("./new_k5/query_cmdrels_weight_analyze/0.3_0.1_0.6/au_53444.xlsx","au_53444")</f>
        <v>au_53444</v>
      </c>
      <c r="B151">
        <v>0.5</v>
      </c>
      <c r="C151">
        <v>0</v>
      </c>
      <c r="D151">
        <v>0.5</v>
      </c>
      <c r="E151">
        <v>0</v>
      </c>
      <c r="F151">
        <v>0.5</v>
      </c>
      <c r="G151">
        <v>0</v>
      </c>
    </row>
    <row r="152" spans="1:7" x14ac:dyDescent="0.15">
      <c r="A152" t="str">
        <f>HYPERLINK("./new_k5/query_cmdrels_weight_analyze/0.3_0.1_0.6/au_538208.xlsx","au_538208")</f>
        <v>au_538208</v>
      </c>
      <c r="B152">
        <v>0.125</v>
      </c>
      <c r="C152">
        <v>0.125</v>
      </c>
      <c r="D152">
        <v>0.375</v>
      </c>
      <c r="E152">
        <v>0.375</v>
      </c>
      <c r="F152">
        <v>0.5</v>
      </c>
      <c r="G152">
        <v>0.5</v>
      </c>
    </row>
    <row r="153" spans="1:7" x14ac:dyDescent="0.15">
      <c r="A153" t="str">
        <f>HYPERLINK("./new_k5/query_cmdrels_weight_analyze/0.3_0.1_0.6/au_53822.xlsx","au_53822")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HYPERLINK("./new_k5/query_cmdrels_weight_analyze/0.3_0.1_0.6/au_539243.xlsx","au_539243")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0.33333333333333331</v>
      </c>
    </row>
    <row r="155" spans="1:7" x14ac:dyDescent="0.15">
      <c r="A155" t="str">
        <f>HYPERLINK("./new_k5/query_cmdrels_weight_analyze/0.3_0.1_0.6/au_558280.xlsx","au_558280")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0.63888888888888884</v>
      </c>
    </row>
    <row r="156" spans="1:7" x14ac:dyDescent="0.15">
      <c r="A156" t="str">
        <f>HYPERLINK("./new_k5/query_cmdrels_weight_analyze/0.3_0.1_0.6/au_558669.xlsx","au_558669")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HYPERLINK("./new_k5/query_cmdrels_weight_analyze/0.3_0.1_0.6/au_55868.xlsx","au_55868")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0.21296296296296291</v>
      </c>
    </row>
    <row r="158" spans="1:7" x14ac:dyDescent="0.15">
      <c r="A158" t="str">
        <f>HYPERLINK("./new_k5/query_cmdrels_weight_analyze/0.3_0.1_0.6/au_561.xlsx","au_561")</f>
        <v>au_561</v>
      </c>
      <c r="B158">
        <v>0.25</v>
      </c>
      <c r="C158">
        <v>0.25</v>
      </c>
      <c r="D158">
        <v>0.25</v>
      </c>
      <c r="E158">
        <v>0.25</v>
      </c>
      <c r="F158">
        <v>0.25</v>
      </c>
      <c r="G158">
        <v>0.375</v>
      </c>
    </row>
    <row r="159" spans="1:7" x14ac:dyDescent="0.15">
      <c r="A159" t="str">
        <f>HYPERLINK("./new_k5/query_cmdrels_weight_analyze/0.3_0.1_0.6/au_564567.xlsx","au_564567")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HYPERLINK("./new_k5/query_cmdrels_weight_analyze/0.3_0.1_0.6/au_57994.xlsx","au_57994")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0.54285714285714282</v>
      </c>
    </row>
    <row r="161" spans="1:7" x14ac:dyDescent="0.15">
      <c r="A161" t="str">
        <f>HYPERLINK("./new_k5/query_cmdrels_weight_analyze/0.3_0.1_0.6/au_589210.xlsx","au_589210")</f>
        <v>au_589210</v>
      </c>
      <c r="B161">
        <v>0.25</v>
      </c>
      <c r="C161">
        <v>0.25</v>
      </c>
      <c r="D161">
        <v>0.5</v>
      </c>
      <c r="E161">
        <v>0.41666666666666657</v>
      </c>
      <c r="F161">
        <v>0.5</v>
      </c>
      <c r="G161">
        <v>0.41666666666666657</v>
      </c>
    </row>
    <row r="162" spans="1:7" x14ac:dyDescent="0.15">
      <c r="A162" t="str">
        <f>HYPERLINK("./new_k5/query_cmdrels_weight_analyze/0.3_0.1_0.6/au_5911.xlsx","au_5911")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HYPERLINK("./new_k5/query_cmdrels_weight_analyze/0.3_0.1_0.6/au_59356.xlsx","au_59356")</f>
        <v>au_59356</v>
      </c>
      <c r="B163">
        <v>0</v>
      </c>
      <c r="C163">
        <v>0</v>
      </c>
      <c r="D163">
        <v>0.16666666666666671</v>
      </c>
      <c r="E163">
        <v>0.25</v>
      </c>
      <c r="F163">
        <v>0.16666666666666671</v>
      </c>
      <c r="G163">
        <v>0.25</v>
      </c>
    </row>
    <row r="164" spans="1:7" x14ac:dyDescent="0.15">
      <c r="A164" t="str">
        <f>HYPERLINK("./new_k5/query_cmdrels_weight_analyze/0.3_0.1_0.6/au_609850.xlsx","au_609850")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HYPERLINK("./new_k5/query_cmdrels_weight_analyze/0.3_0.1_0.6/au_61408.xlsx","au_61408")</f>
        <v>au_61408</v>
      </c>
      <c r="B165">
        <v>0</v>
      </c>
      <c r="C165">
        <v>0.33333333333333331</v>
      </c>
      <c r="D165">
        <v>0.16666666666666671</v>
      </c>
      <c r="E165">
        <v>0.55555555555555547</v>
      </c>
      <c r="F165">
        <v>0.16666666666666671</v>
      </c>
      <c r="G165">
        <v>0.55555555555555547</v>
      </c>
    </row>
    <row r="166" spans="1:7" x14ac:dyDescent="0.15">
      <c r="A166" t="str">
        <f>HYPERLINK("./new_k5/query_cmdrels_weight_analyze/0.3_0.1_0.6/au_617850.xlsx","au_617850")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HYPERLINK("./new_k5/query_cmdrels_weight_analyze/0.3_0.1_0.6/au_62073.xlsx","au_62073")</f>
        <v>au_62073</v>
      </c>
      <c r="B167">
        <v>0</v>
      </c>
      <c r="C167">
        <v>0.2</v>
      </c>
      <c r="D167">
        <v>0.23333333333333331</v>
      </c>
      <c r="E167">
        <v>0.4</v>
      </c>
      <c r="F167">
        <v>0.23333333333333331</v>
      </c>
      <c r="G167">
        <v>0.71</v>
      </c>
    </row>
    <row r="168" spans="1:7" x14ac:dyDescent="0.15">
      <c r="A168" t="str">
        <f>HYPERLINK("./new_k5/query_cmdrels_weight_analyze/0.3_0.1_0.6/au_620930.xlsx","au_620930")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0.48333333333333328</v>
      </c>
    </row>
    <row r="169" spans="1:7" x14ac:dyDescent="0.15">
      <c r="A169" t="str">
        <f>HYPERLINK("./new_k5/query_cmdrels_weight_analyze/0.3_0.1_0.6/au_62492.xlsx","au_62492")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HYPERLINK("./new_k5/query_cmdrels_weight_analyze/0.3_0.1_0.6/au_626078.xlsx","au_626078")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HYPERLINK("./new_k5/query_cmdrels_weight_analyze/0.3_0.1_0.6/au_636944.xlsx","au_636944")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HYPERLINK("./new_k5/query_cmdrels_weight_analyze/0.3_0.1_0.6/au_648603.xlsx","au_648603")</f>
        <v>au_648603</v>
      </c>
      <c r="B172">
        <v>0.25</v>
      </c>
      <c r="C172">
        <v>0.25</v>
      </c>
      <c r="D172">
        <v>0.25</v>
      </c>
      <c r="E172">
        <v>0.41666666666666657</v>
      </c>
      <c r="F172">
        <v>0.25</v>
      </c>
      <c r="G172">
        <v>0.56666666666666665</v>
      </c>
    </row>
    <row r="173" spans="1:7" x14ac:dyDescent="0.15">
      <c r="A173" t="str">
        <f>HYPERLINK("./new_k5/query_cmdrels_weight_analyze/0.3_0.1_0.6/au_65331.xlsx","au_65331")</f>
        <v>au_65331</v>
      </c>
      <c r="B173">
        <v>0</v>
      </c>
      <c r="C173">
        <v>0.16666666666666671</v>
      </c>
      <c r="D173">
        <v>8.3333333333333329E-2</v>
      </c>
      <c r="E173">
        <v>0.33333333333333331</v>
      </c>
      <c r="F173">
        <v>0.16666666666666671</v>
      </c>
      <c r="G173">
        <v>0.45833333333333331</v>
      </c>
    </row>
    <row r="174" spans="1:7" x14ac:dyDescent="0.15">
      <c r="A174" t="str">
        <f>HYPERLINK("./new_k5/query_cmdrels_weight_analyze/0.3_0.1_0.6/au_66000.xlsx","au_66000")</f>
        <v>au_66000</v>
      </c>
      <c r="B174">
        <v>0</v>
      </c>
      <c r="C174">
        <v>0.2</v>
      </c>
      <c r="D174">
        <v>0</v>
      </c>
      <c r="E174">
        <v>0.4</v>
      </c>
      <c r="F174">
        <v>0</v>
      </c>
      <c r="G174">
        <v>0.71</v>
      </c>
    </row>
    <row r="175" spans="1:7" x14ac:dyDescent="0.15">
      <c r="A175" t="str">
        <f>HYPERLINK("./new_k5/query_cmdrels_weight_analyze/0.3_0.1_0.6/au_660846.xlsx","au_660846")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HYPERLINK("./new_k5/query_cmdrels_weight_analyze/0.3_0.1_0.6/au_662935.xlsx","au_662935")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0.25</v>
      </c>
    </row>
    <row r="177" spans="1:7" x14ac:dyDescent="0.15">
      <c r="A177" t="str">
        <f>HYPERLINK("./new_k5/query_cmdrels_weight_analyze/0.3_0.1_0.6/au_67663.xlsx","au_67663")</f>
        <v>au_67663</v>
      </c>
      <c r="B177">
        <v>0</v>
      </c>
      <c r="C177">
        <v>0.25</v>
      </c>
      <c r="D177">
        <v>0.29166666666666657</v>
      </c>
      <c r="E177">
        <v>0.5</v>
      </c>
      <c r="F177">
        <v>0.29166666666666657</v>
      </c>
      <c r="G177">
        <v>0.65</v>
      </c>
    </row>
    <row r="178" spans="1:7" x14ac:dyDescent="0.15">
      <c r="A178" t="str">
        <f>HYPERLINK("./new_k5/query_cmdrels_weight_analyze/0.3_0.1_0.6/au_68028.xlsx","au_68028")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0.2857142857142857</v>
      </c>
      <c r="F178">
        <v>0.37142857142857139</v>
      </c>
      <c r="G178">
        <v>0.2857142857142857</v>
      </c>
    </row>
    <row r="179" spans="1:7" x14ac:dyDescent="0.15">
      <c r="A179" t="str">
        <f>HYPERLINK("./new_k5/query_cmdrels_weight_analyze/0.3_0.1_0.6/au_681312.xlsx","au_681312")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0.42857142857142849</v>
      </c>
      <c r="F179">
        <v>0.42857142857142849</v>
      </c>
      <c r="G179">
        <v>0.5714285714285714</v>
      </c>
    </row>
    <row r="180" spans="1:7" x14ac:dyDescent="0.15">
      <c r="A180" t="str">
        <f>HYPERLINK("./new_k5/query_cmdrels_weight_analyze/0.3_0.1_0.6/au_686239.xlsx","au_686239")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15">
      <c r="A181" t="str">
        <f>HYPERLINK("./new_k5/query_cmdrels_weight_analyze/0.3_0.1_0.6/au_68809.xlsx","au_68809")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0.20833333333333329</v>
      </c>
    </row>
    <row r="182" spans="1:7" x14ac:dyDescent="0.15">
      <c r="A182" t="str">
        <f>HYPERLINK("./new_k5/query_cmdrels_weight_analyze/0.3_0.1_0.6/au_69556.xlsx","au_69556")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HYPERLINK("./new_k5/query_cmdrels_weight_analyze/0.3_0.1_0.6/au_698993.xlsx","au_698993")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HYPERLINK("./new_k5/query_cmdrels_weight_analyze/0.3_0.1_0.6/au_707881.xlsx","au_707881")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0.16666666666666671</v>
      </c>
    </row>
    <row r="185" spans="1:7" x14ac:dyDescent="0.15">
      <c r="A185" t="str">
        <f>HYPERLINK("./new_k5/query_cmdrels_weight_analyze/0.3_0.1_0.6/au_709594.xlsx","au_709594")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HYPERLINK("./new_k5/query_cmdrels_weight_analyze/0.3_0.1_0.6/au_71309.xlsx","au_71309")</f>
        <v>au_71309</v>
      </c>
      <c r="B186">
        <v>0.125</v>
      </c>
      <c r="C186">
        <v>0.125</v>
      </c>
      <c r="D186">
        <v>0.20833333333333329</v>
      </c>
      <c r="E186">
        <v>0.125</v>
      </c>
      <c r="F186">
        <v>0.20833333333333329</v>
      </c>
      <c r="G186">
        <v>0.17499999999999999</v>
      </c>
    </row>
    <row r="187" spans="1:7" x14ac:dyDescent="0.15">
      <c r="A187" t="str">
        <f>HYPERLINK("./new_k5/query_cmdrels_weight_analyze/0.3_0.1_0.6/au_7138.xlsx","au_7138")</f>
        <v>au_7138</v>
      </c>
      <c r="B187">
        <v>0.25</v>
      </c>
      <c r="C187">
        <v>0</v>
      </c>
      <c r="D187">
        <v>0.75</v>
      </c>
      <c r="E187">
        <v>8.3333333333333329E-2</v>
      </c>
      <c r="F187">
        <v>0.75</v>
      </c>
      <c r="G187">
        <v>0.20833333333333329</v>
      </c>
    </row>
    <row r="188" spans="1:7" x14ac:dyDescent="0.15">
      <c r="A188" t="str">
        <f>HYPERLINK("./new_k5/query_cmdrels_weight_analyze/0.3_0.1_0.6/au_72549.xlsx","au_72549")</f>
        <v>au_72549</v>
      </c>
      <c r="B188">
        <v>0</v>
      </c>
      <c r="C188">
        <v>0.25</v>
      </c>
      <c r="D188">
        <v>0</v>
      </c>
      <c r="E188">
        <v>0.25</v>
      </c>
      <c r="F188">
        <v>0</v>
      </c>
      <c r="G188">
        <v>0.25</v>
      </c>
    </row>
    <row r="189" spans="1:7" x14ac:dyDescent="0.15">
      <c r="A189" t="str">
        <f>HYPERLINK("./new_k5/query_cmdrels_weight_analyze/0.3_0.1_0.6/au_740805.xlsx","au_740805")</f>
        <v>au_740805</v>
      </c>
      <c r="B189">
        <v>0.25</v>
      </c>
      <c r="C189">
        <v>0.25</v>
      </c>
      <c r="D189">
        <v>0.41666666666666657</v>
      </c>
      <c r="E189">
        <v>0.25</v>
      </c>
      <c r="F189">
        <v>0.41666666666666657</v>
      </c>
      <c r="G189">
        <v>0.35</v>
      </c>
    </row>
    <row r="190" spans="1:7" x14ac:dyDescent="0.15">
      <c r="A190" t="str">
        <f>HYPERLINK("./new_k5/query_cmdrels_weight_analyze/0.3_0.1_0.6/au_760796.xlsx","au_760796")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0.4</v>
      </c>
    </row>
    <row r="191" spans="1:7" x14ac:dyDescent="0.15">
      <c r="A191" t="str">
        <f>HYPERLINK("./new_k5/query_cmdrels_weight_analyze/0.3_0.1_0.6/au_762846.xlsx","au_762846")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0.43333333333333329</v>
      </c>
    </row>
    <row r="192" spans="1:7" x14ac:dyDescent="0.15">
      <c r="A192" t="str">
        <f>HYPERLINK("./new_k5/query_cmdrels_weight_analyze/0.3_0.1_0.6/au_767786.xlsx","au_767786")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0.6</v>
      </c>
    </row>
    <row r="193" spans="1:7" x14ac:dyDescent="0.15">
      <c r="A193" t="str">
        <f>HYPERLINK("./new_k5/query_cmdrels_weight_analyze/0.3_0.1_0.6/au_778906.xlsx","au_778906")</f>
        <v>au_778906</v>
      </c>
      <c r="B193">
        <v>0.2</v>
      </c>
      <c r="C193">
        <v>0.2</v>
      </c>
      <c r="D193">
        <v>0.33333333333333331</v>
      </c>
      <c r="E193">
        <v>0.33333333333333331</v>
      </c>
      <c r="F193">
        <v>0.33333333333333331</v>
      </c>
      <c r="G193">
        <v>0.48333333333333328</v>
      </c>
    </row>
    <row r="194" spans="1:7" x14ac:dyDescent="0.15">
      <c r="A194" t="str">
        <f>HYPERLINK("./new_k5/query_cmdrels_weight_analyze/0.3_0.1_0.6/au_818929.xlsx","au_818929")</f>
        <v>au_818929</v>
      </c>
      <c r="B194">
        <v>0</v>
      </c>
      <c r="C194">
        <v>0.2</v>
      </c>
      <c r="D194">
        <v>0</v>
      </c>
      <c r="E194">
        <v>0.33333333333333331</v>
      </c>
      <c r="F194">
        <v>0</v>
      </c>
      <c r="G194">
        <v>0.33333333333333331</v>
      </c>
    </row>
    <row r="195" spans="1:7" x14ac:dyDescent="0.15">
      <c r="A195" t="str">
        <f>HYPERLINK("./new_k5/query_cmdrels_weight_analyze/0.3_0.1_0.6/au_844876.xlsx","au_844876")</f>
        <v>au_844876</v>
      </c>
      <c r="B195">
        <v>0.5</v>
      </c>
      <c r="C195">
        <v>0.5</v>
      </c>
      <c r="D195">
        <v>0.5</v>
      </c>
      <c r="E195">
        <v>1</v>
      </c>
      <c r="F195">
        <v>0.5</v>
      </c>
      <c r="G195">
        <v>1</v>
      </c>
    </row>
    <row r="196" spans="1:7" x14ac:dyDescent="0.15">
      <c r="A196" t="str">
        <f>HYPERLINK("./new_k5/query_cmdrels_weight_analyze/0.3_0.1_0.6/au_85318.xlsx","au_85318")</f>
        <v>au_85318</v>
      </c>
      <c r="B196">
        <v>0.2</v>
      </c>
      <c r="C196">
        <v>0.2</v>
      </c>
      <c r="D196">
        <v>0.6</v>
      </c>
      <c r="E196">
        <v>0.6</v>
      </c>
      <c r="F196">
        <v>0.6</v>
      </c>
      <c r="G196">
        <v>0.6</v>
      </c>
    </row>
    <row r="197" spans="1:7" x14ac:dyDescent="0.15">
      <c r="A197" t="str">
        <f>HYPERLINK("./new_k5/query_cmdrels_weight_analyze/0.3_0.1_0.6/au_854332.xlsx","au_854332")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HYPERLINK("./new_k5/query_cmdrels_weight_analyze/0.3_0.1_0.6/au_854373.xlsx","au_854373")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HYPERLINK("./new_k5/query_cmdrels_weight_analyze/0.3_0.1_0.6/au_86843.xlsx","au_86843")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HYPERLINK("./new_k5/query_cmdrels_weight_analyze/0.3_0.1_0.6/au_88108.xlsx","au_88108")</f>
        <v>au_88108</v>
      </c>
      <c r="B200">
        <v>0</v>
      </c>
      <c r="C200">
        <v>0</v>
      </c>
      <c r="D200">
        <v>0.1</v>
      </c>
      <c r="E200">
        <v>6.6666666666666666E-2</v>
      </c>
      <c r="F200">
        <v>0.1</v>
      </c>
      <c r="G200">
        <v>6.6666666666666666E-2</v>
      </c>
    </row>
    <row r="201" spans="1:7" x14ac:dyDescent="0.15">
      <c r="A201" t="str">
        <f>HYPERLINK("./new_k5/query_cmdrels_weight_analyze/0.3_0.1_0.6/au_90214.xlsx","au_90214")</f>
        <v>au_90214</v>
      </c>
      <c r="B201">
        <v>0</v>
      </c>
      <c r="C201">
        <v>0</v>
      </c>
      <c r="D201">
        <v>0.16666666666666671</v>
      </c>
      <c r="E201">
        <v>0.16666666666666671</v>
      </c>
      <c r="F201">
        <v>0.16666666666666671</v>
      </c>
      <c r="G201">
        <v>0.16666666666666671</v>
      </c>
    </row>
    <row r="202" spans="1:7" x14ac:dyDescent="0.15">
      <c r="A202" t="str">
        <f>HYPERLINK("./new_k5/query_cmdrels_weight_analyze/0.3_0.1_0.6/au_90339.xlsx","au_90339")</f>
        <v>au_90339</v>
      </c>
      <c r="B202">
        <v>0</v>
      </c>
      <c r="C202">
        <v>0</v>
      </c>
      <c r="D202">
        <v>4.7619047619047623E-2</v>
      </c>
      <c r="E202">
        <v>7.1428571428571425E-2</v>
      </c>
      <c r="F202">
        <v>0.2047619047619047</v>
      </c>
      <c r="G202">
        <v>7.1428571428571425E-2</v>
      </c>
    </row>
    <row r="203" spans="1:7" x14ac:dyDescent="0.15">
      <c r="A203" t="str">
        <f>HYPERLINK("./new_k5/query_cmdrels_weight_analyze/0.3_0.1_0.6/au_91286.xlsx","au_91286")</f>
        <v>au_91286</v>
      </c>
      <c r="B203">
        <v>0.5</v>
      </c>
      <c r="C203">
        <v>0</v>
      </c>
      <c r="D203">
        <v>0.5</v>
      </c>
      <c r="E203">
        <v>0</v>
      </c>
      <c r="F203">
        <v>0.5</v>
      </c>
      <c r="G203">
        <v>0</v>
      </c>
    </row>
    <row r="204" spans="1:7" x14ac:dyDescent="0.15">
      <c r="A204" t="str">
        <f>HYPERLINK("./new_k5/query_cmdrels_weight_analyze/0.3_0.1_0.6/au_9135.xlsx","au_9135")</f>
        <v>au_9135</v>
      </c>
      <c r="B204">
        <v>0.1</v>
      </c>
      <c r="C204">
        <v>0</v>
      </c>
      <c r="D204">
        <v>0.16666666666666671</v>
      </c>
      <c r="E204">
        <v>0.1166666666666667</v>
      </c>
      <c r="F204">
        <v>0.24166666666666661</v>
      </c>
      <c r="G204">
        <v>0.19166666666666671</v>
      </c>
    </row>
    <row r="205" spans="1:7" x14ac:dyDescent="0.15">
      <c r="A205" t="str">
        <f>HYPERLINK("./new_k5/query_cmdrels_weight_analyze/0.3_0.1_0.6/au_935569.xlsx","au_935569")</f>
        <v>au_935569</v>
      </c>
      <c r="B205">
        <v>0.14285714285714279</v>
      </c>
      <c r="C205">
        <v>0.14285714285714279</v>
      </c>
      <c r="D205">
        <v>0.42857142857142849</v>
      </c>
      <c r="E205">
        <v>0.42857142857142849</v>
      </c>
      <c r="F205">
        <v>0.54285714285714282</v>
      </c>
      <c r="G205">
        <v>0.42857142857142849</v>
      </c>
    </row>
    <row r="206" spans="1:7" x14ac:dyDescent="0.15">
      <c r="A206" t="str">
        <f>HYPERLINK("./new_k5/query_cmdrels_weight_analyze/0.3_0.1_0.6/au_97936.xlsx","au_97936")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HYPERLINK("./new_k5/query_cmdrels_weight_analyze/0.3_0.1_0.6/so_10235778.xlsx","so_10235778")</f>
        <v>so_10235778</v>
      </c>
      <c r="B207">
        <v>0.25</v>
      </c>
      <c r="C207">
        <v>0.25</v>
      </c>
      <c r="D207">
        <v>0.5</v>
      </c>
      <c r="E207">
        <v>0.25</v>
      </c>
      <c r="F207">
        <v>0.5</v>
      </c>
      <c r="G207">
        <v>0.375</v>
      </c>
    </row>
    <row r="208" spans="1:7" x14ac:dyDescent="0.15">
      <c r="A208" t="str">
        <f>HYPERLINK("./new_k5/query_cmdrels_weight_analyze/0.3_0.1_0.6/so_1045910.xlsx","so_1045910")</f>
        <v>so_1045910</v>
      </c>
      <c r="B208">
        <v>0.25</v>
      </c>
      <c r="C208">
        <v>0.25</v>
      </c>
      <c r="D208">
        <v>0.25</v>
      </c>
      <c r="E208">
        <v>0.5</v>
      </c>
      <c r="F208">
        <v>0.25</v>
      </c>
      <c r="G208">
        <v>0.5</v>
      </c>
    </row>
    <row r="209" spans="1:7" x14ac:dyDescent="0.15">
      <c r="A209" t="str">
        <f>HYPERLINK("./new_k5/query_cmdrels_weight_analyze/0.3_0.1_0.6/so_10557360.xlsx","so_10557360")</f>
        <v>so_10557360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0.05</v>
      </c>
    </row>
    <row r="210" spans="1:7" x14ac:dyDescent="0.15">
      <c r="A210" t="str">
        <f>HYPERLINK("./new_k5/query_cmdrels_weight_analyze/0.3_0.1_0.6/so_1058047.xlsx","so_1058047")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0.35</v>
      </c>
    </row>
    <row r="211" spans="1:7" x14ac:dyDescent="0.15">
      <c r="A211" t="str">
        <f>HYPERLINK("./new_k5/query_cmdrels_weight_analyze/0.3_0.1_0.6/so_10829402.xlsx","so_10829402")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HYPERLINK("./new_k5/query_cmdrels_weight_analyze/0.3_0.1_0.6/so_1088098.xlsx","so_1088098")</f>
        <v>so_1088098</v>
      </c>
      <c r="B212">
        <v>0</v>
      </c>
      <c r="C212">
        <v>0.25</v>
      </c>
      <c r="D212">
        <v>0.125</v>
      </c>
      <c r="E212">
        <v>0.41666666666666657</v>
      </c>
      <c r="F212">
        <v>0.125</v>
      </c>
      <c r="G212">
        <v>0.41666666666666657</v>
      </c>
    </row>
    <row r="213" spans="1:7" x14ac:dyDescent="0.15">
      <c r="A213" t="str">
        <f>HYPERLINK("./new_k5/query_cmdrels_weight_analyze/0.3_0.1_0.6/so_10990949.xlsx","so_10990949")</f>
        <v>so_10990949</v>
      </c>
      <c r="B213">
        <v>0.5</v>
      </c>
      <c r="C213">
        <v>0.5</v>
      </c>
      <c r="D213">
        <v>0.5</v>
      </c>
      <c r="E213">
        <v>1</v>
      </c>
      <c r="F213">
        <v>0.5</v>
      </c>
      <c r="G213">
        <v>1</v>
      </c>
    </row>
    <row r="214" spans="1:7" x14ac:dyDescent="0.15">
      <c r="A214" t="str">
        <f>HYPERLINK("./new_k5/query_cmdrels_weight_analyze/0.3_0.1_0.6/so_11211705.xlsx","so_11211705")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HYPERLINK("./new_k5/query_cmdrels_weight_analyze/0.3_0.1_0.6/so_112932.xlsx","so_112932")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HYPERLINK("./new_k5/query_cmdrels_weight_analyze/0.3_0.1_0.6/so_11392189.xlsx","so_11392189")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8.3333333333333329E-2</v>
      </c>
    </row>
    <row r="217" spans="1:7" x14ac:dyDescent="0.15">
      <c r="A217" t="str">
        <f>HYPERLINK("./new_k5/query_cmdrels_weight_analyze/0.3_0.1_0.6/so_1183183.xlsx","so_1183183")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HYPERLINK("./new_k5/query_cmdrels_weight_analyze/0.3_0.1_0.6/so_1194882.xlsx","so_1194882")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HYPERLINK("./new_k5/query_cmdrels_weight_analyze/0.3_0.1_0.6/so_12120935.xlsx","so_12120935")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HYPERLINK("./new_k5/query_cmdrels_weight_analyze/0.3_0.1_0.6/so_12313384.xlsx","so_12313384")</f>
        <v>so_12313384</v>
      </c>
      <c r="B220">
        <v>0</v>
      </c>
      <c r="C220">
        <v>0</v>
      </c>
      <c r="D220">
        <v>0.16666666666666671</v>
      </c>
      <c r="E220">
        <v>0.16666666666666671</v>
      </c>
      <c r="F220">
        <v>0.16666666666666671</v>
      </c>
      <c r="G220">
        <v>0.33333333333333331</v>
      </c>
    </row>
    <row r="221" spans="1:7" x14ac:dyDescent="0.15">
      <c r="A221" t="str">
        <f>HYPERLINK("./new_k5/query_cmdrels_weight_analyze/0.3_0.1_0.6/so_12392598.xlsx","so_12392598")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HYPERLINK("./new_k5/query_cmdrels_weight_analyze/0.3_0.1_0.6/so_1241801.xlsx","so_1241801")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HYPERLINK("./new_k5/query_cmdrels_weight_analyze/0.3_0.1_0.6/so_12522269.xlsx","so_12522269")</f>
        <v>so_12522269</v>
      </c>
      <c r="B223">
        <v>0.2</v>
      </c>
      <c r="C223">
        <v>0</v>
      </c>
      <c r="D223">
        <v>0.2</v>
      </c>
      <c r="E223">
        <v>0.23333333333333331</v>
      </c>
      <c r="F223">
        <v>0.28000000000000003</v>
      </c>
      <c r="G223">
        <v>0.23333333333333331</v>
      </c>
    </row>
    <row r="224" spans="1:7" x14ac:dyDescent="0.15">
      <c r="A224" t="str">
        <f>HYPERLINK("./new_k5/query_cmdrels_weight_analyze/0.3_0.1_0.6/so_1293907.xlsx","so_1293907")</f>
        <v>so_1293907</v>
      </c>
      <c r="B224">
        <v>0</v>
      </c>
      <c r="C224">
        <v>0</v>
      </c>
      <c r="D224">
        <v>0</v>
      </c>
      <c r="E224">
        <v>0.16666666666666671</v>
      </c>
      <c r="F224">
        <v>8.3333333333333329E-2</v>
      </c>
      <c r="G224">
        <v>0.33333333333333331</v>
      </c>
    </row>
    <row r="225" spans="1:7" x14ac:dyDescent="0.15">
      <c r="A225" t="str">
        <f>HYPERLINK("./new_k5/query_cmdrels_weight_analyze/0.3_0.1_0.6/so_13428910.xlsx","so_13428910")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HYPERLINK("./new_k5/query_cmdrels_weight_analyze/0.3_0.1_0.6/so_135688.xlsx","so_135688")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HYPERLINK("./new_k5/query_cmdrels_weight_analyze/0.3_0.1_0.6/so_13778273.xlsx","so_13778273")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HYPERLINK("./new_k5/query_cmdrels_weight_analyze/0.3_0.1_0.6/so_1405611.xlsx","so_1405611")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</v>
      </c>
      <c r="F228">
        <v>0.33333333333333331</v>
      </c>
      <c r="G228">
        <v>8.3333333333333329E-2</v>
      </c>
    </row>
    <row r="229" spans="1:7" x14ac:dyDescent="0.15">
      <c r="A229" t="str">
        <f>HYPERLINK("./new_k5/query_cmdrels_weight_analyze/0.3_0.1_0.6/so_14300794.xlsx","so_14300794")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0.6333333333333333</v>
      </c>
    </row>
    <row r="230" spans="1:7" x14ac:dyDescent="0.15">
      <c r="A230" t="str">
        <f>HYPERLINK("./new_k5/query_cmdrels_weight_analyze/0.3_0.1_0.6/so_143791.xlsx","so_143791")</f>
        <v>so_143791</v>
      </c>
      <c r="B230">
        <v>0.125</v>
      </c>
      <c r="C230">
        <v>0.125</v>
      </c>
      <c r="D230">
        <v>0.375</v>
      </c>
      <c r="E230">
        <v>0.375</v>
      </c>
      <c r="F230">
        <v>0.375</v>
      </c>
      <c r="G230">
        <v>0.375</v>
      </c>
    </row>
    <row r="231" spans="1:7" x14ac:dyDescent="0.15">
      <c r="A231" t="str">
        <f>HYPERLINK("./new_k5/query_cmdrels_weight_analyze/0.3_0.1_0.6/so_14750650.xlsx","so_14750650")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15">
      <c r="A232" t="str">
        <f>HYPERLINK("./new_k5/query_cmdrels_weight_analyze/0.3_0.1_0.6/so_14978411.xlsx","so_14978411")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HYPERLINK("./new_k5/query_cmdrels_weight_analyze/0.3_0.1_0.6/so_15236308.xlsx","so_15236308")</f>
        <v>so_15236308</v>
      </c>
      <c r="B233">
        <v>0.25</v>
      </c>
      <c r="C233">
        <v>0.25</v>
      </c>
      <c r="D233">
        <v>0.25</v>
      </c>
      <c r="E233">
        <v>0.5</v>
      </c>
      <c r="F233">
        <v>0.25</v>
      </c>
      <c r="G233">
        <v>0.5</v>
      </c>
    </row>
    <row r="234" spans="1:7" x14ac:dyDescent="0.15">
      <c r="A234" t="str">
        <f>HYPERLINK("./new_k5/query_cmdrels_weight_analyze/0.3_0.1_0.6/so_15286947.xlsx","so_15286947")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HYPERLINK("./new_k5/query_cmdrels_weight_analyze/0.3_0.1_0.6/so_15402770.xlsx","so_15402770")</f>
        <v>so_15402770</v>
      </c>
      <c r="B235">
        <v>0</v>
      </c>
      <c r="C235">
        <v>0</v>
      </c>
      <c r="D235">
        <v>0.19444444444444439</v>
      </c>
      <c r="E235">
        <v>0.19444444444444439</v>
      </c>
      <c r="F235">
        <v>0.19444444444444439</v>
      </c>
      <c r="G235">
        <v>0.31944444444444442</v>
      </c>
    </row>
    <row r="236" spans="1:7" x14ac:dyDescent="0.15">
      <c r="A236" t="str">
        <f>HYPERLINK("./new_k5/query_cmdrels_weight_analyze/0.3_0.1_0.6/so_1570262.xlsx","so_1570262")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0.13</v>
      </c>
    </row>
    <row r="237" spans="1:7" x14ac:dyDescent="0.15">
      <c r="A237" t="str">
        <f>HYPERLINK("./new_k5/query_cmdrels_weight_analyze/0.3_0.1_0.6/so_1583219.xlsx","so_1583219")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HYPERLINK("./new_k5/query_cmdrels_weight_analyze/0.3_0.1_0.6/so_15872543.xlsx","so_15872543")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HYPERLINK("./new_k5/query_cmdrels_weight_analyze/0.3_0.1_0.6/so_16038087.xlsx","so_16038087")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0.42857142857142849</v>
      </c>
    </row>
    <row r="240" spans="1:7" x14ac:dyDescent="0.15">
      <c r="A240" t="str">
        <f>HYPERLINK("./new_k5/query_cmdrels_weight_analyze/0.3_0.1_0.6/so_16212656.xlsx","so_16212656")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HYPERLINK("./new_k5/query_cmdrels_weight_analyze/0.3_0.1_0.6/so_16575419.xlsx","so_16575419")</f>
        <v>so_16575419</v>
      </c>
      <c r="B241">
        <v>0.25</v>
      </c>
      <c r="C241">
        <v>0.25</v>
      </c>
      <c r="D241">
        <v>0.25</v>
      </c>
      <c r="E241">
        <v>0.5</v>
      </c>
      <c r="F241">
        <v>0.25</v>
      </c>
      <c r="G241">
        <v>0.5</v>
      </c>
    </row>
    <row r="242" spans="1:7" x14ac:dyDescent="0.15">
      <c r="A242" t="str">
        <f>HYPERLINK("./new_k5/query_cmdrels_weight_analyze/0.3_0.1_0.6/so_17582768.xlsx","so_17582768")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0</v>
      </c>
    </row>
    <row r="243" spans="1:7" x14ac:dyDescent="0.15">
      <c r="A243" t="str">
        <f>HYPERLINK("./new_k5/query_cmdrels_weight_analyze/0.3_0.1_0.6/so_17607612.xlsx","so_17607612")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15">
      <c r="A244" t="str">
        <f>HYPERLINK("./new_k5/query_cmdrels_weight_analyze/0.3_0.1_0.6/so_17829785.xlsx","so_17829785")</f>
        <v>so_17829785</v>
      </c>
      <c r="B244">
        <v>0.25</v>
      </c>
      <c r="C244">
        <v>0</v>
      </c>
      <c r="D244">
        <v>0.25</v>
      </c>
      <c r="E244">
        <v>0.29166666666666657</v>
      </c>
      <c r="F244">
        <v>0.25</v>
      </c>
      <c r="G244">
        <v>0.29166666666666657</v>
      </c>
    </row>
    <row r="245" spans="1:7" x14ac:dyDescent="0.15">
      <c r="A245" t="str">
        <f>HYPERLINK("./new_k5/query_cmdrels_weight_analyze/0.3_0.1_0.6/so_1839841.xlsx","so_1839841")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HYPERLINK("./new_k5/query_cmdrels_weight_analyze/0.3_0.1_0.6/so_18468716.xlsx","so_18468716")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0.33333333333333331</v>
      </c>
    </row>
    <row r="247" spans="1:7" x14ac:dyDescent="0.15">
      <c r="A247" t="str">
        <f>HYPERLINK("./new_k5/query_cmdrels_weight_analyze/0.3_0.1_0.6/so_19196105.xlsx","so_19196105")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HYPERLINK("./new_k5/query_cmdrels_weight_analyze/0.3_0.1_0.6/so_19482123.xlsx","so_19482123")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HYPERLINK("./new_k5/query_cmdrels_weight_analyze/0.3_0.1_0.6/so_1975849.xlsx","so_1975849")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HYPERLINK("./new_k5/query_cmdrels_weight_analyze/0.3_0.1_0.6/so_212528.xlsx","so_212528")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0.43333333333333329</v>
      </c>
    </row>
    <row r="251" spans="1:7" x14ac:dyDescent="0.15">
      <c r="A251" t="str">
        <f>HYPERLINK("./new_k5/query_cmdrels_weight_analyze/0.3_0.1_0.6/so_21620406.xlsx","so_21620406")</f>
        <v>so_21620406</v>
      </c>
      <c r="B251">
        <v>0</v>
      </c>
      <c r="C251">
        <v>0</v>
      </c>
      <c r="D251">
        <v>0.1111111111111111</v>
      </c>
      <c r="E251">
        <v>0</v>
      </c>
      <c r="F251">
        <v>0.1111111111111111</v>
      </c>
      <c r="G251">
        <v>8.3333333333333329E-2</v>
      </c>
    </row>
    <row r="252" spans="1:7" x14ac:dyDescent="0.15">
      <c r="A252" t="str">
        <f>HYPERLINK("./new_k5/query_cmdrels_weight_analyze/0.3_0.1_0.6/so_23509348.xlsx","so_23509348")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HYPERLINK("./new_k5/query_cmdrels_weight_analyze/0.3_0.1_0.6/so_24058544.xlsx","so_24058544")</f>
        <v>so_24058544</v>
      </c>
      <c r="B253">
        <v>0.2</v>
      </c>
      <c r="C253">
        <v>0</v>
      </c>
      <c r="D253">
        <v>0.2</v>
      </c>
      <c r="E253">
        <v>0.1</v>
      </c>
      <c r="F253">
        <v>0.2</v>
      </c>
      <c r="G253">
        <v>0.1</v>
      </c>
    </row>
    <row r="254" spans="1:7" x14ac:dyDescent="0.15">
      <c r="A254" t="str">
        <f>HYPERLINK("./new_k5/query_cmdrels_weight_analyze/0.3_0.1_0.6/so_24283097.xlsx","so_24283097")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HYPERLINK("./new_k5/query_cmdrels_weight_analyze/0.3_0.1_0.6/so_26256279.xlsx","so_26256279")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0.66666666666666663</v>
      </c>
      <c r="F255">
        <v>0.33333333333333331</v>
      </c>
      <c r="G255">
        <v>0.66666666666666663</v>
      </c>
    </row>
    <row r="256" spans="1:7" x14ac:dyDescent="0.15">
      <c r="A256" t="str">
        <f>HYPERLINK("./new_k5/query_cmdrels_weight_analyze/0.3_0.1_0.6/so_26331651.xlsx","so_26331651")</f>
        <v>so_26331651</v>
      </c>
      <c r="B256">
        <v>0</v>
      </c>
      <c r="C256">
        <v>0</v>
      </c>
      <c r="D256">
        <v>0</v>
      </c>
      <c r="E256">
        <v>7.1428571428571425E-2</v>
      </c>
      <c r="F256">
        <v>0</v>
      </c>
      <c r="G256">
        <v>0.14285714285714279</v>
      </c>
    </row>
    <row r="257" spans="1:7" x14ac:dyDescent="0.15">
      <c r="A257" t="str">
        <f>HYPERLINK("./new_k5/query_cmdrels_weight_analyze/0.3_0.1_0.6/so_26988262.xlsx","so_26988262")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HYPERLINK("./new_k5/query_cmdrels_weight_analyze/0.3_0.1_0.6/so_27238411.xlsx","so_27238411")</f>
        <v>so_27238411</v>
      </c>
      <c r="B258">
        <v>0.2</v>
      </c>
      <c r="C258">
        <v>0.2</v>
      </c>
      <c r="D258">
        <v>0.6</v>
      </c>
      <c r="E258">
        <v>0.33333333333333331</v>
      </c>
      <c r="F258">
        <v>0.6</v>
      </c>
      <c r="G258">
        <v>0.48333333333333328</v>
      </c>
    </row>
    <row r="259" spans="1:7" x14ac:dyDescent="0.15">
      <c r="A259" t="str">
        <f>HYPERLINK("./new_k5/query_cmdrels_weight_analyze/0.3_0.1_0.6/so_27943059.xlsx","so_27943059")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0.55555555555555547</v>
      </c>
      <c r="F259">
        <v>0.16666666666666671</v>
      </c>
      <c r="G259">
        <v>0.55555555555555547</v>
      </c>
    </row>
    <row r="260" spans="1:7" x14ac:dyDescent="0.15">
      <c r="A260" t="str">
        <f>HYPERLINK("./new_k5/query_cmdrels_weight_analyze/0.3_0.1_0.6/so_28869004.xlsx","so_28869004")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HYPERLINK("./new_k5/query_cmdrels_weight_analyze/0.3_0.1_0.6/so_2973624.xlsx","so_2973624")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0.55555555555555547</v>
      </c>
      <c r="F261">
        <v>0.66666666666666663</v>
      </c>
      <c r="G261">
        <v>0.80555555555555547</v>
      </c>
    </row>
    <row r="262" spans="1:7" x14ac:dyDescent="0.15">
      <c r="A262" t="str">
        <f>HYPERLINK("./new_k5/query_cmdrels_weight_analyze/0.3_0.1_0.6/so_30177455.xlsx","so_30177455")</f>
        <v>so_30177455</v>
      </c>
      <c r="B262">
        <v>0</v>
      </c>
      <c r="C262">
        <v>0</v>
      </c>
      <c r="D262">
        <v>0.16666666666666671</v>
      </c>
      <c r="E262">
        <v>0.1111111111111111</v>
      </c>
      <c r="F262">
        <v>0.16666666666666671</v>
      </c>
      <c r="G262">
        <v>0.1111111111111111</v>
      </c>
    </row>
    <row r="263" spans="1:7" x14ac:dyDescent="0.15">
      <c r="A263" t="str">
        <f>HYPERLINK("./new_k5/query_cmdrels_weight_analyze/0.3_0.1_0.6/so_30251889.xlsx","so_30251889")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0.47916666666666657</v>
      </c>
    </row>
    <row r="264" spans="1:7" x14ac:dyDescent="0.15">
      <c r="A264" t="str">
        <f>HYPERLINK("./new_k5/query_cmdrels_weight_analyze/0.3_0.1_0.6/so_305035.xlsx","so_305035")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HYPERLINK("./new_k5/query_cmdrels_weight_analyze/0.3_0.1_0.6/so_36249744.xlsx","so_36249744")</f>
        <v>so_36249744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</row>
    <row r="266" spans="1:7" x14ac:dyDescent="0.15">
      <c r="A266" t="str">
        <f>HYPERLINK("./new_k5/query_cmdrels_weight_analyze/0.3_0.1_0.6/so_3643848.xlsx","so_3643848")</f>
        <v>so_3643848</v>
      </c>
      <c r="B266">
        <v>0.5</v>
      </c>
      <c r="C266">
        <v>0.5</v>
      </c>
      <c r="D266">
        <v>1</v>
      </c>
      <c r="E266">
        <v>0.83333333333333326</v>
      </c>
      <c r="F266">
        <v>1</v>
      </c>
      <c r="G266">
        <v>0.83333333333333326</v>
      </c>
    </row>
    <row r="267" spans="1:7" x14ac:dyDescent="0.15">
      <c r="A267" t="str">
        <f>HYPERLINK("./new_k5/query_cmdrels_weight_analyze/0.3_0.1_0.6/so_3667329.xlsx","so_3667329")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0.33333333333333331</v>
      </c>
    </row>
    <row r="268" spans="1:7" x14ac:dyDescent="0.15">
      <c r="A268" t="str">
        <f>HYPERLINK("./new_k5/query_cmdrels_weight_analyze/0.3_0.1_0.6/so_369758.xlsx","so_369758")</f>
        <v>so_369758</v>
      </c>
      <c r="B268">
        <v>0.2</v>
      </c>
      <c r="C268">
        <v>0.2</v>
      </c>
      <c r="D268">
        <v>0.4</v>
      </c>
      <c r="E268">
        <v>0.4</v>
      </c>
      <c r="F268">
        <v>0.4</v>
      </c>
      <c r="G268">
        <v>0.55000000000000004</v>
      </c>
    </row>
    <row r="269" spans="1:7" x14ac:dyDescent="0.15">
      <c r="A269" t="str">
        <f>HYPERLINK("./new_k5/query_cmdrels_weight_analyze/0.3_0.1_0.6/so_3756323.xlsx","so_3756323")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0.75</v>
      </c>
    </row>
    <row r="270" spans="1:7" x14ac:dyDescent="0.15">
      <c r="A270" t="str">
        <f>HYPERLINK("./new_k5/query_cmdrels_weight_analyze/0.3_0.1_0.6/so_3767267.xlsx","so_3767267")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HYPERLINK("./new_k5/query_cmdrels_weight_analyze/0.3_0.1_0.6/so_3833578.xlsx","so_3833578")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HYPERLINK("./new_k5/query_cmdrels_weight_analyze/0.3_0.1_0.6/so_3891076.xlsx","so_3891076")</f>
        <v>so_3891076</v>
      </c>
      <c r="B272">
        <v>0.25</v>
      </c>
      <c r="C272">
        <v>0</v>
      </c>
      <c r="D272">
        <v>0.25</v>
      </c>
      <c r="E272">
        <v>0.125</v>
      </c>
      <c r="F272">
        <v>0.25</v>
      </c>
      <c r="G272">
        <v>0.22500000000000001</v>
      </c>
    </row>
    <row r="273" spans="1:7" x14ac:dyDescent="0.15">
      <c r="A273" t="str">
        <f>HYPERLINK("./new_k5/query_cmdrels_weight_analyze/0.3_0.1_0.6/so_3963085.xlsx","so_3963085")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HYPERLINK("./new_k5/query_cmdrels_weight_analyze/0.3_0.1_0.6/so_4325216.xlsx","so_4325216")</f>
        <v>so_4325216</v>
      </c>
      <c r="B274">
        <v>0.5</v>
      </c>
      <c r="C274">
        <v>0.5</v>
      </c>
      <c r="D274">
        <v>0.5</v>
      </c>
      <c r="E274">
        <v>0.83333333333333326</v>
      </c>
      <c r="F274">
        <v>0.5</v>
      </c>
      <c r="G274">
        <v>0.83333333333333326</v>
      </c>
    </row>
    <row r="275" spans="1:7" x14ac:dyDescent="0.15">
      <c r="A275" t="str">
        <f>HYPERLINK("./new_k5/query_cmdrels_weight_analyze/0.3_0.1_0.6/so_448005.xlsx","so_448005")</f>
        <v>so_448005</v>
      </c>
      <c r="B275">
        <v>1</v>
      </c>
      <c r="C275">
        <v>0</v>
      </c>
      <c r="D275">
        <v>1</v>
      </c>
      <c r="E275">
        <v>0.5</v>
      </c>
      <c r="F275">
        <v>1</v>
      </c>
      <c r="G275">
        <v>0.5</v>
      </c>
    </row>
    <row r="276" spans="1:7" x14ac:dyDescent="0.15">
      <c r="A276" t="str">
        <f>HYPERLINK("./new_k5/query_cmdrels_weight_analyze/0.3_0.1_0.6/so_4921879.xlsx","so_4921879")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HYPERLINK("./new_k5/query_cmdrels_weight_analyze/0.3_0.1_0.6/so_4922943.xlsx","so_4922943")</f>
        <v>so_4922943</v>
      </c>
      <c r="B277">
        <v>0.2</v>
      </c>
      <c r="C277">
        <v>0</v>
      </c>
      <c r="D277">
        <v>0.33333333333333331</v>
      </c>
      <c r="E277">
        <v>0.1</v>
      </c>
      <c r="F277">
        <v>0.33333333333333331</v>
      </c>
      <c r="G277">
        <v>0.32</v>
      </c>
    </row>
    <row r="278" spans="1:7" x14ac:dyDescent="0.15">
      <c r="A278" t="str">
        <f>HYPERLINK("./new_k5/query_cmdrels_weight_analyze/0.3_0.1_0.6/so_5119946.xlsx","so_5119946")</f>
        <v>so_5119946</v>
      </c>
      <c r="B278">
        <v>0.5</v>
      </c>
      <c r="C278">
        <v>0</v>
      </c>
      <c r="D278">
        <v>0.5</v>
      </c>
      <c r="E278">
        <v>0.16666666666666671</v>
      </c>
      <c r="F278">
        <v>0.5</v>
      </c>
      <c r="G278">
        <v>0.16666666666666671</v>
      </c>
    </row>
    <row r="279" spans="1:7" x14ac:dyDescent="0.15">
      <c r="A279" t="str">
        <f>HYPERLINK("./new_k5/query_cmdrels_weight_analyze/0.3_0.1_0.6/so_5164985.xlsx","so_5164985")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0.3</v>
      </c>
    </row>
    <row r="280" spans="1:7" x14ac:dyDescent="0.15">
      <c r="A280" t="str">
        <f>HYPERLINK("./new_k5/query_cmdrels_weight_analyze/0.3_0.1_0.6/so_5306153.xlsx","so_5306153")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HYPERLINK("./new_k5/query_cmdrels_weight_analyze/0.3_0.1_0.6/so_5566310.xlsx","so_5566310")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HYPERLINK("./new_k5/query_cmdrels_weight_analyze/0.3_0.1_0.6/so_5927369.xlsx","so_5927369")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HYPERLINK("./new_k5/query_cmdrels_weight_analyze/0.3_0.1_0.6/so_5947742.xlsx","so_5947742")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0.55555555555555547</v>
      </c>
      <c r="F283">
        <v>0.55555555555555547</v>
      </c>
      <c r="G283">
        <v>0.55555555555555547</v>
      </c>
    </row>
    <row r="284" spans="1:7" x14ac:dyDescent="0.15">
      <c r="A284" t="str">
        <f>HYPERLINK("./new_k5/query_cmdrels_weight_analyze/0.3_0.1_0.6/so_614795.xlsx","so_614795")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HYPERLINK("./new_k5/query_cmdrels_weight_analyze/0.3_0.1_0.6/so_6207573.xlsx","so_6207573")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0.42857142857142849</v>
      </c>
      <c r="F285">
        <v>0.37142857142857139</v>
      </c>
      <c r="G285">
        <v>0.54285714285714282</v>
      </c>
    </row>
    <row r="286" spans="1:7" x14ac:dyDescent="0.15">
      <c r="A286" t="str">
        <f>HYPERLINK("./new_k5/query_cmdrels_weight_analyze/0.3_0.1_0.6/so_6283167.xlsx","so_6283167")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HYPERLINK("./new_k5/query_cmdrels_weight_analyze/0.3_0.1_0.6/so_6329505.xlsx","so_6329505")</f>
        <v>so_6329505</v>
      </c>
      <c r="B287">
        <v>0</v>
      </c>
      <c r="C287">
        <v>0</v>
      </c>
      <c r="D287">
        <v>0.1</v>
      </c>
      <c r="E287">
        <v>6.6666666666666666E-2</v>
      </c>
      <c r="F287">
        <v>0.18</v>
      </c>
      <c r="G287">
        <v>6.6666666666666666E-2</v>
      </c>
    </row>
    <row r="288" spans="1:7" x14ac:dyDescent="0.15">
      <c r="A288" t="str">
        <f>HYPERLINK("./new_k5/query_cmdrels_weight_analyze/0.3_0.1_0.6/so_6423532.xlsx","so_6423532")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HYPERLINK("./new_k5/query_cmdrels_weight_analyze/0.3_0.1_0.6/so_669438.xlsx","so_669438")</f>
        <v>so_669438</v>
      </c>
      <c r="B289">
        <v>0.2</v>
      </c>
      <c r="C289">
        <v>0.2</v>
      </c>
      <c r="D289">
        <v>0.6</v>
      </c>
      <c r="E289">
        <v>0.4</v>
      </c>
      <c r="F289">
        <v>0.6</v>
      </c>
      <c r="G289">
        <v>0.55000000000000004</v>
      </c>
    </row>
    <row r="290" spans="1:7" x14ac:dyDescent="0.15">
      <c r="A290" t="str">
        <f>HYPERLINK("./new_k5/query_cmdrels_weight_analyze/0.3_0.1_0.6/so_7052875.xlsx","so_7052875")</f>
        <v>so_7052875</v>
      </c>
      <c r="B290">
        <v>0.2</v>
      </c>
      <c r="C290">
        <v>0.2</v>
      </c>
      <c r="D290">
        <v>0.2</v>
      </c>
      <c r="E290">
        <v>0.2</v>
      </c>
      <c r="F290">
        <v>0.2</v>
      </c>
      <c r="G290">
        <v>0.2</v>
      </c>
    </row>
    <row r="291" spans="1:7" x14ac:dyDescent="0.15">
      <c r="A291" t="str">
        <f>HYPERLINK("./new_k5/query_cmdrels_weight_analyze/0.3_0.1_0.6/so_7221757.xlsx","so_7221757")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HYPERLINK("./new_k5/query_cmdrels_weight_analyze/0.3_0.1_0.6/so_750604.xlsx","so_750604")</f>
        <v>so_750604</v>
      </c>
      <c r="B292">
        <v>0</v>
      </c>
      <c r="C292">
        <v>0</v>
      </c>
      <c r="D292">
        <v>0.1111111111111111</v>
      </c>
      <c r="E292">
        <v>0.16666666666666671</v>
      </c>
      <c r="F292">
        <v>0.1111111111111111</v>
      </c>
      <c r="G292">
        <v>0.33333333333333331</v>
      </c>
    </row>
    <row r="293" spans="1:7" x14ac:dyDescent="0.15">
      <c r="A293" t="str">
        <f>HYPERLINK("./new_k5/query_cmdrels_weight_analyze/0.3_0.1_0.6/so_7575267.xlsx","so_7575267")</f>
        <v>so_7575267</v>
      </c>
      <c r="B293">
        <v>0</v>
      </c>
      <c r="C293">
        <v>0.25</v>
      </c>
      <c r="D293">
        <v>0</v>
      </c>
      <c r="E293">
        <v>0.41666666666666657</v>
      </c>
      <c r="F293">
        <v>0</v>
      </c>
      <c r="G293">
        <v>0.41666666666666657</v>
      </c>
    </row>
    <row r="294" spans="1:7" x14ac:dyDescent="0.15">
      <c r="A294" t="str">
        <f>HYPERLINK("./new_k5/query_cmdrels_weight_analyze/0.3_0.1_0.6/so_7698488.xlsx","so_7698488")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15">
      <c r="A295" t="str">
        <f>HYPERLINK("./new_k5/query_cmdrels_weight_analyze/0.3_0.1_0.6/so_801095.xlsx","so_801095")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0.33333333333333331</v>
      </c>
      <c r="F295">
        <v>0.33333333333333331</v>
      </c>
      <c r="G295">
        <v>0.5</v>
      </c>
    </row>
    <row r="296" spans="1:7" x14ac:dyDescent="0.15">
      <c r="A296" t="str">
        <f>HYPERLINK("./new_k5/query_cmdrels_weight_analyze/0.3_0.1_0.6/so_8249705.xlsx","so_8249705")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HYPERLINK("./new_k5/query_cmdrels_weight_analyze/0.3_0.1_0.6/so_8423541.xlsx","so_8423541")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HYPERLINK("./new_k5/query_cmdrels_weight_analyze/0.3_0.1_0.6/so_8654051.xlsx","so_8654051")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0.65</v>
      </c>
    </row>
    <row r="299" spans="1:7" x14ac:dyDescent="0.15">
      <c r="A299" t="str">
        <f>HYPERLINK("./new_k5/query_cmdrels_weight_analyze/0.3_0.1_0.6/so_890262.xlsx","so_890262")</f>
        <v>so_890262</v>
      </c>
      <c r="B299">
        <v>0</v>
      </c>
      <c r="C299">
        <v>0</v>
      </c>
      <c r="D299">
        <v>0</v>
      </c>
      <c r="E299">
        <v>0.1111111111111111</v>
      </c>
      <c r="F299">
        <v>0</v>
      </c>
      <c r="G299">
        <v>0.27777777777777768</v>
      </c>
    </row>
    <row r="300" spans="1:7" x14ac:dyDescent="0.15">
      <c r="A300" t="str">
        <f>HYPERLINK("./new_k5/query_cmdrels_weight_analyze/0.3_0.1_0.6/so_893585.xlsx","so_893585")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HYPERLINK("./new_k5/query_cmdrels_weight_analyze/0.3_0.1_0.6/so_9223460.xlsx","so_9223460")</f>
        <v>so_9223460</v>
      </c>
      <c r="B301">
        <v>0.33333333333333331</v>
      </c>
      <c r="C301">
        <v>0.33333333333333331</v>
      </c>
      <c r="D301">
        <v>0.33333333333333331</v>
      </c>
      <c r="E301">
        <v>0.33333333333333331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HYPERLINK("./new_k5/query_cmdrels_weight_analyze/0.3_0.1_0.6/so_9245638.xlsx","so_9245638")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HYPERLINK("./new_k5/query_cmdrels_weight_analyze/0.3_0.1_0.6/so_9304953.xlsx","so_9304953")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HYPERLINK("./new_k5/query_cmdrels_weight_analyze/0.3_0.1_0.6/so_9361816.xlsx","so_9361816")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HYPERLINK("./new_k5/query_cmdrels_weight_analyze/0.3_0.1_0.6/su_116617.xlsx","su_116617")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HYPERLINK("./new_k5/query_cmdrels_weight_analyze/0.3_0.1_0.6/su_120045.xlsx","su_120045")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HYPERLINK("./new_k5/query_cmdrels_weight_analyze/0.3_0.1_0.6/su_127863.xlsx","su_127863")</f>
        <v>su_127863</v>
      </c>
      <c r="B307">
        <v>0</v>
      </c>
      <c r="C307">
        <v>0</v>
      </c>
      <c r="D307">
        <v>0.25</v>
      </c>
      <c r="E307">
        <v>0</v>
      </c>
      <c r="F307">
        <v>0.25</v>
      </c>
      <c r="G307">
        <v>0</v>
      </c>
    </row>
    <row r="308" spans="1:7" x14ac:dyDescent="0.15">
      <c r="A308" t="str">
        <f>HYPERLINK("./new_k5/query_cmdrels_weight_analyze/0.3_0.1_0.6/su_135498.xlsx","su_135498")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HYPERLINK("./new_k5/query_cmdrels_weight_analyze/0.3_0.1_0.6/su_147027.xlsx","su_147027")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0.25</v>
      </c>
    </row>
    <row r="310" spans="1:7" x14ac:dyDescent="0.15">
      <c r="A310" t="str">
        <f>HYPERLINK("./new_k5/query_cmdrels_weight_analyze/0.3_0.1_0.6/su_151911.xlsx","su_151911")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15">
      <c r="A311" t="str">
        <f>HYPERLINK("./new_k5/query_cmdrels_weight_analyze/0.3_0.1_0.6/su_153415.xlsx","su_153415")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HYPERLINK("./new_k5/query_cmdrels_weight_analyze/0.3_0.1_0.6/su_156189.xlsx","su_156189")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0.40277777777777768</v>
      </c>
    </row>
    <row r="313" spans="1:7" x14ac:dyDescent="0.15">
      <c r="A313" t="str">
        <f>HYPERLINK("./new_k5/query_cmdrels_weight_analyze/0.3_0.1_0.6/su_161531.xlsx","su_161531")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HYPERLINK("./new_k5/query_cmdrels_weight_analyze/0.3_0.1_0.6/su_204209.xlsx","su_204209")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HYPERLINK("./new_k5/query_cmdrels_weight_analyze/0.3_0.1_0.6/su_214390.xlsx","su_214390")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HYPERLINK("./new_k5/query_cmdrels_weight_analyze/0.3_0.1_0.6/su_215483.xlsx","su_215483")</f>
        <v>su_215483</v>
      </c>
      <c r="B316">
        <v>0.5</v>
      </c>
      <c r="C316">
        <v>0.5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HYPERLINK("./new_k5/query_cmdrels_weight_analyze/0.3_0.1_0.6/su_215504.xlsx","su_215504")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0.44166666666666671</v>
      </c>
    </row>
    <row r="318" spans="1:7" x14ac:dyDescent="0.15">
      <c r="A318" t="str">
        <f>HYPERLINK("./new_k5/query_cmdrels_weight_analyze/0.3_0.1_0.6/su_227385.xlsx","su_227385")</f>
        <v>su_227385</v>
      </c>
      <c r="B318">
        <v>0</v>
      </c>
      <c r="C318">
        <v>0</v>
      </c>
      <c r="D318">
        <v>0</v>
      </c>
      <c r="E318">
        <v>0.29166666666666657</v>
      </c>
      <c r="F318">
        <v>0</v>
      </c>
      <c r="G318">
        <v>0.6791666666666667</v>
      </c>
    </row>
    <row r="319" spans="1:7" x14ac:dyDescent="0.15">
      <c r="A319" t="str">
        <f>HYPERLINK("./new_k5/query_cmdrels_weight_analyze/0.3_0.1_0.6/su_273254.xlsx","su_273254")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HYPERLINK("./new_k5/query_cmdrels_weight_analyze/0.3_0.1_0.6/su_294161.xlsx","su_294161")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HYPERLINK("./new_k5/query_cmdrels_weight_analyze/0.3_0.1_0.6/su_302396.xlsx","su_302396")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HYPERLINK("./new_k5/query_cmdrels_weight_analyze/0.3_0.1_0.6/su_303981.xlsx","su_303981")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0.5</v>
      </c>
      <c r="F322">
        <v>0.5</v>
      </c>
      <c r="G322">
        <v>0.5</v>
      </c>
    </row>
    <row r="323" spans="1:7" x14ac:dyDescent="0.15">
      <c r="A323" t="str">
        <f>HYPERLINK("./new_k5/query_cmdrels_weight_analyze/0.3_0.1_0.6/su_305128.xlsx","su_305128")</f>
        <v>su_305128</v>
      </c>
      <c r="B323">
        <v>0.5</v>
      </c>
      <c r="C323">
        <v>0.5</v>
      </c>
      <c r="D323">
        <v>1</v>
      </c>
      <c r="E323">
        <v>1</v>
      </c>
      <c r="F323">
        <v>1</v>
      </c>
      <c r="G323">
        <v>1</v>
      </c>
    </row>
    <row r="324" spans="1:7" x14ac:dyDescent="0.15">
      <c r="A324" t="str">
        <f>HYPERLINK("./new_k5/query_cmdrels_weight_analyze/0.3_0.1_0.6/su_31512.xlsx","su_31512")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HYPERLINK("./new_k5/query_cmdrels_weight_analyze/0.3_0.1_0.6/su_380520.xlsx","su_380520")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0.33333333333333331</v>
      </c>
    </row>
    <row r="326" spans="1:7" x14ac:dyDescent="0.15">
      <c r="A326" t="str">
        <f>HYPERLINK("./new_k5/query_cmdrels_weight_analyze/0.3_0.1_0.6/su_38981.xlsx","su_38981")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HYPERLINK("./new_k5/query_cmdrels_weight_analyze/0.3_0.1_0.6/su_437330.xlsx","su_437330")</f>
        <v>su_437330</v>
      </c>
      <c r="B327">
        <v>0.33333333333333331</v>
      </c>
      <c r="C327">
        <v>0</v>
      </c>
      <c r="D327">
        <v>0.33333333333333331</v>
      </c>
      <c r="E327">
        <v>0.16666666666666671</v>
      </c>
      <c r="F327">
        <v>0.33333333333333331</v>
      </c>
      <c r="G327">
        <v>0.16666666666666671</v>
      </c>
    </row>
    <row r="328" spans="1:7" x14ac:dyDescent="0.15">
      <c r="A328" t="str">
        <f>HYPERLINK("./new_k5/query_cmdrels_weight_analyze/0.3_0.1_0.6/su_441379.xlsx","su_441379")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HYPERLINK("./new_k5/query_cmdrels_weight_analyze/0.3_0.1_0.6/su_462788.xlsx","su_462788")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0.1851851851851852</v>
      </c>
      <c r="F329">
        <v>0.30555555555555558</v>
      </c>
      <c r="G329">
        <v>0.26851851851851849</v>
      </c>
    </row>
    <row r="330" spans="1:7" x14ac:dyDescent="0.15">
      <c r="A330" t="str">
        <f>HYPERLINK("./new_k5/query_cmdrels_weight_analyze/0.3_0.1_0.6/su_626606.xlsx","su_626606")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0.66666666666666663</v>
      </c>
    </row>
    <row r="331" spans="1:7" x14ac:dyDescent="0.15">
      <c r="A331" t="str">
        <f>HYPERLINK("./new_k5/query_cmdrels_weight_analyze/0.3_0.1_0.6/su_634469.xlsx","su_634469")</f>
        <v>su_634469</v>
      </c>
      <c r="B331">
        <v>0</v>
      </c>
      <c r="C331">
        <v>0.16666666666666671</v>
      </c>
      <c r="D331">
        <v>0</v>
      </c>
      <c r="E331">
        <v>0.27777777777777768</v>
      </c>
      <c r="F331">
        <v>0</v>
      </c>
      <c r="G331">
        <v>0.40277777777777768</v>
      </c>
    </row>
    <row r="332" spans="1:7" x14ac:dyDescent="0.15">
      <c r="A332" t="str">
        <f>HYPERLINK("./new_k5/query_cmdrels_weight_analyze/0.3_0.1_0.6/su_638616.xlsx","su_638616")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HYPERLINK("./new_k5/query_cmdrels_weight_analyze/0.3_0.1_0.6/su_678113.xlsx","su_678113")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0.75</v>
      </c>
    </row>
    <row r="334" spans="1:7" x14ac:dyDescent="0.15">
      <c r="A334" t="str">
        <f>HYPERLINK("./new_k5/query_cmdrels_weight_analyze/0.3_0.1_0.6/su_686394.xlsx","su_686394")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HYPERLINK("./new_k5/query_cmdrels_weight_analyze/0.3_0.1_0.6/su_716795.xlsx","su_716795")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</v>
      </c>
    </row>
    <row r="336" spans="1:7" x14ac:dyDescent="0.15">
      <c r="A336" t="str">
        <f>HYPERLINK("./new_k5/query_cmdrels_weight_analyze/0.3_0.1_0.6/su_758463.xlsx","su_758463")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HYPERLINK("./new_k5/query_cmdrels_weight_analyze/0.3_0.1_0.6/su_766437.xlsx","su_766437")</f>
        <v>su_766437</v>
      </c>
      <c r="B337">
        <v>0</v>
      </c>
      <c r="C337">
        <v>0.2</v>
      </c>
      <c r="D337">
        <v>0</v>
      </c>
      <c r="E337">
        <v>0.4</v>
      </c>
      <c r="F337">
        <v>0.05</v>
      </c>
      <c r="G337">
        <v>0.52</v>
      </c>
    </row>
    <row r="338" spans="1:7" x14ac:dyDescent="0.15">
      <c r="A338" t="str">
        <f>HYPERLINK("./new_k5/query_cmdrels_weight_analyze/0.3_0.1_0.6/su_904001.xlsx","su_904001")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HYPERLINK("./new_k5/query_cmdrels_weight_analyze/0.3_0.1_0.6/ul_100959.xlsx","ul_100959")</f>
        <v>ul_100959</v>
      </c>
      <c r="B339">
        <v>0</v>
      </c>
      <c r="C339">
        <v>0</v>
      </c>
      <c r="D339">
        <v>0.25</v>
      </c>
      <c r="E339">
        <v>0.25</v>
      </c>
      <c r="F339">
        <v>0.25</v>
      </c>
      <c r="G339">
        <v>0.5</v>
      </c>
    </row>
    <row r="340" spans="1:7" x14ac:dyDescent="0.15">
      <c r="A340" t="str">
        <f>HYPERLINK("./new_k5/query_cmdrels_weight_analyze/0.3_0.1_0.6/ul_101073.xlsx","ul_101073")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HYPERLINK("./new_k5/query_cmdrels_weight_analyze/0.3_0.1_0.6/ul_101237.xlsx","ul_101237")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HYPERLINK("./new_k5/query_cmdrels_weight_analyze/0.3_0.1_0.6/ul_102752.xlsx","ul_102752")</f>
        <v>ul_102752</v>
      </c>
      <c r="B342">
        <v>0</v>
      </c>
      <c r="C342">
        <v>0.25</v>
      </c>
      <c r="D342">
        <v>0.29166666666666657</v>
      </c>
      <c r="E342">
        <v>0.5</v>
      </c>
      <c r="F342">
        <v>0.29166666666666657</v>
      </c>
      <c r="G342">
        <v>0.88749999999999996</v>
      </c>
    </row>
    <row r="343" spans="1:7" x14ac:dyDescent="0.15">
      <c r="A343" t="str">
        <f>HYPERLINK("./new_k5/query_cmdrels_weight_analyze/0.3_0.1_0.6/ul_108174.xlsx","ul_108174")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HYPERLINK("./new_k5/query_cmdrels_weight_analyze/0.3_0.1_0.6/ul_109536.xlsx","ul_109536")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HYPERLINK("./new_k5/query_cmdrels_weight_analyze/0.3_0.1_0.6/ul_112050.xlsx","ul_112050")</f>
        <v>ul_112050</v>
      </c>
      <c r="B345">
        <v>0</v>
      </c>
      <c r="C345">
        <v>0.25</v>
      </c>
      <c r="D345">
        <v>0.125</v>
      </c>
      <c r="E345">
        <v>0.5</v>
      </c>
      <c r="F345">
        <v>0.125</v>
      </c>
      <c r="G345">
        <v>0.6875</v>
      </c>
    </row>
    <row r="346" spans="1:7" x14ac:dyDescent="0.15">
      <c r="A346" t="str">
        <f>HYPERLINK("./new_k5/query_cmdrels_weight_analyze/0.3_0.1_0.6/ul_116070.xlsx","ul_116070")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HYPERLINK("./new_k5/query_cmdrels_weight_analyze/0.3_0.1_0.6/ul_11851.xlsx","ul_11851")</f>
        <v>ul_11851</v>
      </c>
      <c r="B347">
        <v>0</v>
      </c>
      <c r="C347">
        <v>0.2</v>
      </c>
      <c r="D347">
        <v>0</v>
      </c>
      <c r="E347">
        <v>0.33333333333333331</v>
      </c>
      <c r="F347">
        <v>0</v>
      </c>
      <c r="G347">
        <v>0.64333333333333331</v>
      </c>
    </row>
    <row r="348" spans="1:7" x14ac:dyDescent="0.15">
      <c r="A348" t="str">
        <f>HYPERLINK("./new_k5/query_cmdrels_weight_analyze/0.3_0.1_0.6/ul_119126.xlsx","ul_119126")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HYPERLINK("./new_k5/query_cmdrels_weight_analyze/0.3_0.1_0.6/ul_121718.xlsx","ul_121718")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HYPERLINK("./new_k5/query_cmdrels_weight_analyze/0.3_0.1_0.6/ul_12227.xlsx","ul_12227")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HYPERLINK("./new_k5/query_cmdrels_weight_analyze/0.3_0.1_0.6/ul_12453.xlsx","ul_12453")</f>
        <v>ul_12453</v>
      </c>
      <c r="B351">
        <v>0</v>
      </c>
      <c r="C351">
        <v>0</v>
      </c>
      <c r="D351">
        <v>0.125</v>
      </c>
      <c r="E351">
        <v>0.29166666666666657</v>
      </c>
      <c r="F351">
        <v>0.125</v>
      </c>
      <c r="G351">
        <v>0.29166666666666657</v>
      </c>
    </row>
    <row r="352" spans="1:7" x14ac:dyDescent="0.15">
      <c r="A352" t="str">
        <f>HYPERLINK("./new_k5/query_cmdrels_weight_analyze/0.3_0.1_0.6/ul_12535.xlsx","ul_12535")</f>
        <v>ul_12535</v>
      </c>
      <c r="B352">
        <v>0</v>
      </c>
      <c r="C352">
        <v>0</v>
      </c>
      <c r="D352">
        <v>0</v>
      </c>
      <c r="E352">
        <v>0.23333333333333331</v>
      </c>
      <c r="F352">
        <v>0.05</v>
      </c>
      <c r="G352">
        <v>0.35333333333333328</v>
      </c>
    </row>
    <row r="353" spans="1:7" x14ac:dyDescent="0.15">
      <c r="A353" t="str">
        <f>HYPERLINK("./new_k5/query_cmdrels_weight_analyze/0.3_0.1_0.6/ul_127066.xlsx","ul_127066")</f>
        <v>ul_127066</v>
      </c>
      <c r="B353">
        <v>0.25</v>
      </c>
      <c r="C353">
        <v>0.25</v>
      </c>
      <c r="D353">
        <v>0.25</v>
      </c>
      <c r="E353">
        <v>0.5</v>
      </c>
      <c r="F353">
        <v>0.25</v>
      </c>
      <c r="G353">
        <v>0.5</v>
      </c>
    </row>
    <row r="354" spans="1:7" x14ac:dyDescent="0.15">
      <c r="A354" t="str">
        <f>HYPERLINK("./new_k5/query_cmdrels_weight_analyze/0.3_0.1_0.6/ul_128953.xlsx","ul_128953")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HYPERLINK("./new_k5/query_cmdrels_weight_analyze/0.3_0.1_0.6/ul_134829.xlsx","ul_134829")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0.33333333333333331</v>
      </c>
      <c r="F355">
        <v>0.33333333333333331</v>
      </c>
      <c r="G355">
        <v>0.43333333333333329</v>
      </c>
    </row>
    <row r="356" spans="1:7" x14ac:dyDescent="0.15">
      <c r="A356" t="str">
        <f>HYPERLINK("./new_k5/query_cmdrels_weight_analyze/0.3_0.1_0.6/ul_136371.xlsx","ul_136371")</f>
        <v>ul_136371</v>
      </c>
      <c r="B356">
        <v>0</v>
      </c>
      <c r="C356">
        <v>0.33333333333333331</v>
      </c>
      <c r="D356">
        <v>0</v>
      </c>
      <c r="E356">
        <v>0.33333333333333331</v>
      </c>
      <c r="F356">
        <v>0</v>
      </c>
      <c r="G356">
        <v>0.46666666666666662</v>
      </c>
    </row>
    <row r="357" spans="1:7" x14ac:dyDescent="0.15">
      <c r="A357" t="str">
        <f>HYPERLINK("./new_k5/query_cmdrels_weight_analyze/0.3_0.1_0.6/ul_136884.xlsx","ul_136884")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HYPERLINK("./new_k5/query_cmdrels_weight_analyze/0.3_0.1_0.6/ul_138398.xlsx","ul_138398")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6.25E-2</v>
      </c>
    </row>
    <row r="359" spans="1:7" x14ac:dyDescent="0.15">
      <c r="A359" t="str">
        <f>HYPERLINK("./new_k5/query_cmdrels_weight_analyze/0.3_0.1_0.6/ul_139271.xlsx","ul_139271")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0.33333333333333331</v>
      </c>
      <c r="F359">
        <v>0.33333333333333331</v>
      </c>
      <c r="G359">
        <v>0.43333333333333329</v>
      </c>
    </row>
    <row r="360" spans="1:7" x14ac:dyDescent="0.15">
      <c r="A360" t="str">
        <f>HYPERLINK("./new_k5/query_cmdrels_weight_analyze/0.3_0.1_0.6/ul_140482.xlsx","ul_140482")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0.55555555555555547</v>
      </c>
      <c r="F360">
        <v>0.33333333333333331</v>
      </c>
      <c r="G360">
        <v>0.55555555555555547</v>
      </c>
    </row>
    <row r="361" spans="1:7" x14ac:dyDescent="0.15">
      <c r="A361" t="str">
        <f>HYPERLINK("./new_k5/query_cmdrels_weight_analyze/0.3_0.1_0.6/ul_14191.xlsx","ul_14191")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0.24444444444444449</v>
      </c>
    </row>
    <row r="362" spans="1:7" x14ac:dyDescent="0.15">
      <c r="A362" t="str">
        <f>HYPERLINK("./new_k5/query_cmdrels_weight_analyze/0.3_0.1_0.6/ul_145929.xlsx","ul_145929")</f>
        <v>ul_145929</v>
      </c>
      <c r="B362">
        <v>0</v>
      </c>
      <c r="C362">
        <v>0</v>
      </c>
      <c r="D362">
        <v>0.16666666666666671</v>
      </c>
      <c r="E362">
        <v>0</v>
      </c>
      <c r="F362">
        <v>0.16666666666666671</v>
      </c>
      <c r="G362">
        <v>0.125</v>
      </c>
    </row>
    <row r="363" spans="1:7" x14ac:dyDescent="0.15">
      <c r="A363" t="str">
        <f>HYPERLINK("./new_k5/query_cmdrels_weight_analyze/0.3_0.1_0.6/ul_148985.xlsx","ul_148985")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HYPERLINK("./new_k5/query_cmdrels_weight_analyze/0.3_0.1_0.6/ul_15405.xlsx","ul_15405")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0.65</v>
      </c>
    </row>
    <row r="365" spans="1:7" x14ac:dyDescent="0.15">
      <c r="A365" t="str">
        <f>HYPERLINK("./new_k5/query_cmdrels_weight_analyze/0.3_0.1_0.6/ul_155551.xlsx","ul_155551")</f>
        <v>ul_155551</v>
      </c>
      <c r="B365">
        <v>0</v>
      </c>
      <c r="C365">
        <v>0</v>
      </c>
      <c r="D365">
        <v>0</v>
      </c>
      <c r="E365">
        <v>0.25</v>
      </c>
      <c r="F365">
        <v>0</v>
      </c>
      <c r="G365">
        <v>0.5</v>
      </c>
    </row>
    <row r="366" spans="1:7" x14ac:dyDescent="0.15">
      <c r="A366" t="str">
        <f>HYPERLINK("./new_k5/query_cmdrels_weight_analyze/0.3_0.1_0.6/ul_159672.xlsx","ul_159672")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HYPERLINK("./new_k5/query_cmdrels_weight_analyze/0.3_0.1_0.6/ul_163845.xlsx","ul_163845")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HYPERLINK("./new_k5/query_cmdrels_weight_analyze/0.3_0.1_0.6/ul_16407.xlsx","ul_16407")</f>
        <v>ul_16407</v>
      </c>
      <c r="B368">
        <v>0.5</v>
      </c>
      <c r="C368">
        <v>0.5</v>
      </c>
      <c r="D368">
        <v>0.5</v>
      </c>
      <c r="E368">
        <v>1</v>
      </c>
      <c r="F368">
        <v>0.75</v>
      </c>
      <c r="G368">
        <v>1</v>
      </c>
    </row>
    <row r="369" spans="1:7" x14ac:dyDescent="0.15">
      <c r="A369" t="str">
        <f>HYPERLINK("./new_k5/query_cmdrels_weight_analyze/0.3_0.1_0.6/ul_166558.xlsx","ul_166558")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HYPERLINK("./new_k5/query_cmdrels_weight_analyze/0.3_0.1_0.6/ul_171314.xlsx","ul_171314")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0.35</v>
      </c>
    </row>
    <row r="371" spans="1:7" x14ac:dyDescent="0.15">
      <c r="A371" t="str">
        <f>HYPERLINK("./new_k5/query_cmdrels_weight_analyze/0.3_0.1_0.6/ul_182032.xlsx","ul_182032")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HYPERLINK("./new_k5/query_cmdrels_weight_analyze/0.3_0.1_0.6/ul_19344.xlsx","ul_19344")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HYPERLINK("./new_k5/query_cmdrels_weight_analyze/0.3_0.1_0.6/ul_19369.xlsx","ul_19369")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HYPERLINK("./new_k5/query_cmdrels_weight_analyze/0.3_0.1_0.6/ul_19485.xlsx","ul_19485")</f>
        <v>ul_19485</v>
      </c>
      <c r="B374">
        <v>0</v>
      </c>
      <c r="C374">
        <v>0</v>
      </c>
      <c r="D374">
        <v>0</v>
      </c>
      <c r="E374">
        <v>0.33333333333333331</v>
      </c>
      <c r="F374">
        <v>0</v>
      </c>
      <c r="G374">
        <v>0.33333333333333331</v>
      </c>
    </row>
    <row r="375" spans="1:7" x14ac:dyDescent="0.15">
      <c r="A375" t="str">
        <f>HYPERLINK("./new_k5/query_cmdrels_weight_analyze/0.3_0.1_0.6/ul_20370.xlsx","ul_20370")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15">
      <c r="A376" t="str">
        <f>HYPERLINK("./new_k5/query_cmdrels_weight_analyze/0.3_0.1_0.6/ul_211817.xlsx","ul_211817")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HYPERLINK("./new_k5/query_cmdrels_weight_analyze/0.3_0.1_0.6/ul_212925.xlsx","ul_212925")</f>
        <v>ul_212925</v>
      </c>
      <c r="B377">
        <v>0</v>
      </c>
      <c r="C377">
        <v>0</v>
      </c>
      <c r="D377">
        <v>0</v>
      </c>
      <c r="E377">
        <v>0.5</v>
      </c>
      <c r="F377">
        <v>0</v>
      </c>
      <c r="G377">
        <v>0.5</v>
      </c>
    </row>
    <row r="378" spans="1:7" x14ac:dyDescent="0.15">
      <c r="A378" t="str">
        <f>HYPERLINK("./new_k5/query_cmdrels_weight_analyze/0.3_0.1_0.6/ul_21471.xlsx","ul_21471")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HYPERLINK("./new_k5/query_cmdrels_weight_analyze/0.3_0.1_0.6/ul_22545.xlsx","ul_22545")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HYPERLINK("./new_k5/query_cmdrels_weight_analyze/0.3_0.1_0.6/ul_230481.xlsx","ul_230481")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0.55555555555555547</v>
      </c>
    </row>
    <row r="381" spans="1:7" x14ac:dyDescent="0.15">
      <c r="A381" t="str">
        <f>HYPERLINK("./new_k5/query_cmdrels_weight_analyze/0.3_0.1_0.6/ul_230673.xlsx","ul_230673")</f>
        <v>ul_230673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0.125</v>
      </c>
    </row>
    <row r="382" spans="1:7" x14ac:dyDescent="0.15">
      <c r="A382" t="str">
        <f>HYPERLINK("./new_k5/query_cmdrels_weight_analyze/0.3_0.1_0.6/ul_230800.xlsx","ul_230800")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HYPERLINK("./new_k5/query_cmdrels_weight_analyze/0.3_0.1_0.6/ul_232384.xlsx","ul_232384")</f>
        <v>ul_232384</v>
      </c>
      <c r="B383">
        <v>0</v>
      </c>
      <c r="C383">
        <v>0.5</v>
      </c>
      <c r="D383">
        <v>0</v>
      </c>
      <c r="E383">
        <v>0.5</v>
      </c>
      <c r="F383">
        <v>0</v>
      </c>
      <c r="G383">
        <v>0.5</v>
      </c>
    </row>
    <row r="384" spans="1:7" x14ac:dyDescent="0.15">
      <c r="A384" t="str">
        <f>HYPERLINK("./new_k5/query_cmdrels_weight_analyze/0.3_0.1_0.6/ul_24441.xlsx","ul_24441")</f>
        <v>ul_24441</v>
      </c>
      <c r="B384">
        <v>0</v>
      </c>
      <c r="C384">
        <v>0</v>
      </c>
      <c r="D384">
        <v>0</v>
      </c>
      <c r="E384">
        <v>0.25</v>
      </c>
      <c r="F384">
        <v>0</v>
      </c>
      <c r="G384">
        <v>0.25</v>
      </c>
    </row>
    <row r="385" spans="1:7" x14ac:dyDescent="0.15">
      <c r="A385" t="str">
        <f>HYPERLINK("./new_k5/query_cmdrels_weight_analyze/0.3_0.1_0.6/ul_246535.xlsx","ul_246535")</f>
        <v>ul_246535</v>
      </c>
      <c r="B385">
        <v>0.2</v>
      </c>
      <c r="C385">
        <v>0.2</v>
      </c>
      <c r="D385">
        <v>0.2</v>
      </c>
      <c r="E385">
        <v>0.33333333333333331</v>
      </c>
      <c r="F385">
        <v>0.2</v>
      </c>
      <c r="G385">
        <v>0.45333333333333331</v>
      </c>
    </row>
    <row r="386" spans="1:7" x14ac:dyDescent="0.15">
      <c r="A386" t="str">
        <f>HYPERLINK("./new_k5/query_cmdrels_weight_analyze/0.3_0.1_0.6/ul_259791.xlsx","ul_259791")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HYPERLINK("./new_k5/query_cmdrels_weight_analyze/0.3_0.1_0.6/ul_273971.xlsx","ul_273971")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0.33333333333333331</v>
      </c>
      <c r="F387">
        <v>0.43333333333333329</v>
      </c>
      <c r="G387">
        <v>0.43333333333333329</v>
      </c>
    </row>
    <row r="388" spans="1:7" x14ac:dyDescent="0.15">
      <c r="A388" t="str">
        <f>HYPERLINK("./new_k5/query_cmdrels_weight_analyze/0.3_0.1_0.6/ul_28553.xlsx","ul_28553")</f>
        <v>ul_28553</v>
      </c>
      <c r="B388">
        <v>0.25</v>
      </c>
      <c r="C388">
        <v>0</v>
      </c>
      <c r="D388">
        <v>0.5</v>
      </c>
      <c r="E388">
        <v>0</v>
      </c>
      <c r="F388">
        <v>0.5</v>
      </c>
      <c r="G388">
        <v>0</v>
      </c>
    </row>
    <row r="389" spans="1:7" x14ac:dyDescent="0.15">
      <c r="A389" t="str">
        <f>HYPERLINK("./new_k5/query_cmdrels_weight_analyze/0.3_0.1_0.6/ul_288521.xlsx","ul_288521")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HYPERLINK("./new_k5/query_cmdrels_weight_analyze/0.3_0.1_0.6/ul_32290.xlsx","ul_32290")</f>
        <v>ul_32290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6.25E-2</v>
      </c>
    </row>
    <row r="391" spans="1:7" x14ac:dyDescent="0.15">
      <c r="A391" t="str">
        <f>HYPERLINK("./new_k5/query_cmdrels_weight_analyze/0.3_0.1_0.6/ul_328882.xlsx","ul_328882")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HYPERLINK("./new_k5/query_cmdrels_weight_analyze/0.3_0.1_0.6/ul_35131.xlsx","ul_35131")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0.66666666666666663</v>
      </c>
    </row>
    <row r="393" spans="1:7" x14ac:dyDescent="0.15">
      <c r="A393" t="str">
        <f>HYPERLINK("./new_k5/query_cmdrels_weight_analyze/0.3_0.1_0.6/ul_35333.xlsx","ul_35333")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HYPERLINK("./new_k5/query_cmdrels_weight_analyze/0.3_0.1_0.6/ul_35711.xlsx","ul_35711")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HYPERLINK("./new_k5/query_cmdrels_weight_analyze/0.3_0.1_0.6/ul_3575.xlsx","ul_3575")</f>
        <v>ul_3575</v>
      </c>
      <c r="B395">
        <v>0</v>
      </c>
      <c r="C395">
        <v>0.16666666666666671</v>
      </c>
      <c r="D395">
        <v>8.3333333333333329E-2</v>
      </c>
      <c r="E395">
        <v>0.16666666666666671</v>
      </c>
      <c r="F395">
        <v>8.3333333333333329E-2</v>
      </c>
      <c r="G395">
        <v>0.16666666666666671</v>
      </c>
    </row>
    <row r="396" spans="1:7" x14ac:dyDescent="0.15">
      <c r="A396" t="str">
        <f>HYPERLINK("./new_k5/query_cmdrels_weight_analyze/0.3_0.1_0.6/ul_35832.xlsx","ul_35832")</f>
        <v>ul_35832</v>
      </c>
      <c r="B396">
        <v>0.5</v>
      </c>
      <c r="C396">
        <v>0.5</v>
      </c>
      <c r="D396">
        <v>0.5</v>
      </c>
      <c r="E396">
        <v>1</v>
      </c>
      <c r="F396">
        <v>0.5</v>
      </c>
      <c r="G396">
        <v>1</v>
      </c>
    </row>
    <row r="397" spans="1:7" x14ac:dyDescent="0.15">
      <c r="A397" t="str">
        <f>HYPERLINK("./new_k5/query_cmdrels_weight_analyze/0.3_0.1_0.6/ul_370318.xlsx","ul_370318")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0.42857142857142849</v>
      </c>
      <c r="F397">
        <v>0.14285714285714279</v>
      </c>
      <c r="G397">
        <v>0.42857142857142849</v>
      </c>
    </row>
    <row r="398" spans="1:7" x14ac:dyDescent="0.15">
      <c r="A398" t="str">
        <f>HYPERLINK("./new_k5/query_cmdrels_weight_analyze/0.3_0.1_0.6/ul_37329.xlsx","ul_37329")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0.55555555555555547</v>
      </c>
      <c r="F398">
        <v>0.33333333333333331</v>
      </c>
      <c r="G398">
        <v>0.55555555555555547</v>
      </c>
    </row>
    <row r="399" spans="1:7" x14ac:dyDescent="0.15">
      <c r="A399" t="str">
        <f>HYPERLINK("./new_k5/query_cmdrels_weight_analyze/0.3_0.1_0.6/ul_38209.xlsx","ul_38209")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HYPERLINK("./new_k5/query_cmdrels_weight_analyze/0.3_0.1_0.6/ul_41246.xlsx","ul_41246")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HYPERLINK("./new_k5/query_cmdrels_weight_analyze/0.3_0.1_0.6/ul_41362.xlsx","ul_41362")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6.25E-2</v>
      </c>
    </row>
    <row r="402" spans="1:7" x14ac:dyDescent="0.15">
      <c r="A402" t="str">
        <f>HYPERLINK("./new_k5/query_cmdrels_weight_analyze/0.3_0.1_0.6/ul_48200.xlsx","ul_48200")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HYPERLINK("./new_k5/query_cmdrels_weight_analyze/0.3_0.1_0.6/ul_50098.xlsx","ul_50098")</f>
        <v>ul_50098</v>
      </c>
      <c r="B403">
        <v>0</v>
      </c>
      <c r="C403">
        <v>0.1</v>
      </c>
      <c r="D403">
        <v>0.1166666666666667</v>
      </c>
      <c r="E403">
        <v>0.16666666666666671</v>
      </c>
      <c r="F403">
        <v>0.1166666666666667</v>
      </c>
      <c r="G403">
        <v>0.24166666666666661</v>
      </c>
    </row>
    <row r="404" spans="1:7" x14ac:dyDescent="0.15">
      <c r="A404" t="str">
        <f>HYPERLINK("./new_k5/query_cmdrels_weight_analyze/0.3_0.1_0.6/ul_50785.xlsx","ul_50785")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HYPERLINK("./new_k5/query_cmdrels_weight_analyze/0.3_0.1_0.6/ul_5085.xlsx","ul_5085")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HYPERLINK("./new_k5/query_cmdrels_weight_analyze/0.3_0.1_0.6/ul_53737.xlsx","ul_53737")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HYPERLINK("./new_k5/query_cmdrels_weight_analyze/0.3_0.1_0.6/ul_55125.xlsx","ul_55125")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HYPERLINK("./new_k5/query_cmdrels_weight_analyze/0.3_0.1_0.6/ul_56453.xlsx","ul_56453")</f>
        <v>ul_56453</v>
      </c>
      <c r="B408">
        <v>0</v>
      </c>
      <c r="C408">
        <v>0</v>
      </c>
      <c r="D408">
        <v>8.3333333333333329E-2</v>
      </c>
      <c r="E408">
        <v>0.125</v>
      </c>
      <c r="F408">
        <v>8.3333333333333329E-2</v>
      </c>
      <c r="G408">
        <v>0.125</v>
      </c>
    </row>
    <row r="409" spans="1:7" x14ac:dyDescent="0.15">
      <c r="A409" t="str">
        <f>HYPERLINK("./new_k5/query_cmdrels_weight_analyze/0.3_0.1_0.6/ul_63648.xlsx","ul_63648")</f>
        <v>ul_63648</v>
      </c>
      <c r="B409">
        <v>0</v>
      </c>
      <c r="C409">
        <v>0</v>
      </c>
      <c r="D409">
        <v>0.125</v>
      </c>
      <c r="E409">
        <v>8.3333333333333329E-2</v>
      </c>
      <c r="F409">
        <v>0.25</v>
      </c>
      <c r="G409">
        <v>8.3333333333333329E-2</v>
      </c>
    </row>
    <row r="410" spans="1:7" x14ac:dyDescent="0.15">
      <c r="A410" t="str">
        <f>HYPERLINK("./new_k5/query_cmdrels_weight_analyze/0.3_0.1_0.6/ul_6402.xlsx","ul_6402")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0.46666666666666662</v>
      </c>
    </row>
    <row r="411" spans="1:7" x14ac:dyDescent="0.15">
      <c r="A411" t="str">
        <f>HYPERLINK("./new_k5/query_cmdrels_weight_analyze/0.3_0.1_0.6/ul_65106.xlsx","ul_65106")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0.91666666666666663</v>
      </c>
    </row>
    <row r="412" spans="1:7" x14ac:dyDescent="0.15">
      <c r="A412" t="str">
        <f>HYPERLINK("./new_k5/query_cmdrels_weight_analyze/0.3_0.1_0.6/ul_65932.xlsx","ul_65932")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HYPERLINK("./new_k5/query_cmdrels_weight_analyze/0.3_0.1_0.6/ul_6596.xlsx","ul_6596")</f>
        <v>ul_6596</v>
      </c>
      <c r="B413">
        <v>0.2</v>
      </c>
      <c r="C413">
        <v>0.2</v>
      </c>
      <c r="D413">
        <v>0.6</v>
      </c>
      <c r="E413">
        <v>0.6</v>
      </c>
      <c r="F413">
        <v>0.6</v>
      </c>
      <c r="G413">
        <v>0.76</v>
      </c>
    </row>
    <row r="414" spans="1:7" x14ac:dyDescent="0.15">
      <c r="A414" t="str">
        <f>HYPERLINK("./new_k5/query_cmdrels_weight_analyze/0.3_0.1_0.6/ul_67503.xlsx","ul_67503")</f>
        <v>ul_67503</v>
      </c>
      <c r="B414">
        <v>0</v>
      </c>
      <c r="C414">
        <v>0.5</v>
      </c>
      <c r="D414">
        <v>0.25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HYPERLINK("./new_k5/query_cmdrels_weight_analyze/0.3_0.1_0.6/ul_67592.xlsx","ul_67592")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HYPERLINK("./new_k5/query_cmdrels_weight_analyze/0.3_0.1_0.6/ul_70581.xlsx","ul_70581")</f>
        <v>ul_70581</v>
      </c>
      <c r="B416">
        <v>0</v>
      </c>
      <c r="C416">
        <v>0</v>
      </c>
      <c r="D416">
        <v>0.1</v>
      </c>
      <c r="E416">
        <v>6.6666666666666666E-2</v>
      </c>
      <c r="F416">
        <v>0.1</v>
      </c>
      <c r="G416">
        <v>6.6666666666666666E-2</v>
      </c>
    </row>
    <row r="417" spans="1:7" x14ac:dyDescent="0.15">
      <c r="A417" t="str">
        <f>HYPERLINK("./new_k5/query_cmdrels_weight_analyze/0.3_0.1_0.6/ul_70614.xlsx","ul_70614")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HYPERLINK("./new_k5/query_cmdrels_weight_analyze/0.3_0.1_0.6/ul_71465.xlsx","ul_71465")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HYPERLINK("./new_k5/query_cmdrels_weight_analyze/0.3_0.1_0.6/ul_7226.xlsx","ul_7226")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0.55555555555555547</v>
      </c>
      <c r="F419">
        <v>0.33333333333333331</v>
      </c>
      <c r="G419">
        <v>0.55555555555555547</v>
      </c>
    </row>
    <row r="420" spans="1:7" x14ac:dyDescent="0.15">
      <c r="A420" t="str">
        <f>HYPERLINK("./new_k5/query_cmdrels_weight_analyze/0.3_0.1_0.6/ul_78182.xlsx","ul_78182")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HYPERLINK("./new_k5/query_cmdrels_weight_analyze/0.3_0.1_0.6/ul_79678.xlsx","ul_79678")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HYPERLINK("./new_k5/query_cmdrels_weight_analyze/0.3_0.1_0.6/ul_79702.xlsx","ul_79702")</f>
        <v>ul_79702</v>
      </c>
      <c r="B422">
        <v>0</v>
      </c>
      <c r="C422">
        <v>0.33333333333333331</v>
      </c>
      <c r="D422">
        <v>0</v>
      </c>
      <c r="E422">
        <v>0.66666666666666663</v>
      </c>
      <c r="F422">
        <v>0</v>
      </c>
      <c r="G422">
        <v>0.91666666666666663</v>
      </c>
    </row>
    <row r="423" spans="1:7" x14ac:dyDescent="0.15">
      <c r="A423" t="str">
        <f>HYPERLINK("./new_k5/query_cmdrels_weight_analyze/0.3_0.1_0.6/ul_83593.xlsx","ul_83593")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HYPERLINK("./new_k5/query_cmdrels_weight_analyze/0.3_0.1_0.6/ul_84381.xlsx","ul_84381")</f>
        <v>ul_84381</v>
      </c>
      <c r="B424">
        <v>0</v>
      </c>
      <c r="C424">
        <v>0.33333333333333331</v>
      </c>
      <c r="D424">
        <v>0.16666666666666671</v>
      </c>
      <c r="E424">
        <v>0.33333333333333331</v>
      </c>
      <c r="F424">
        <v>0.16666666666666671</v>
      </c>
      <c r="G424">
        <v>0.33333333333333331</v>
      </c>
    </row>
    <row r="425" spans="1:7" x14ac:dyDescent="0.15">
      <c r="A425" t="str">
        <f>HYPERLINK("./new_k5/query_cmdrels_weight_analyze/0.3_0.1_0.6/ul_85180.xlsx","ul_85180")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0.1111111111111111</v>
      </c>
    </row>
    <row r="426" spans="1:7" x14ac:dyDescent="0.15">
      <c r="A426" t="str">
        <f>HYPERLINK("./new_k5/query_cmdrels_weight_analyze/0.3_0.1_0.6/ul_86071.xlsx","ul_86071")</f>
        <v>ul_86071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0.125</v>
      </c>
    </row>
    <row r="427" spans="1:7" x14ac:dyDescent="0.15">
      <c r="A427" t="str">
        <f>HYPERLINK("./new_k5/query_cmdrels_weight_analyze/0.3_0.1_0.6/ul_86729.xlsx","ul_86729")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HYPERLINK("./new_k5/query_cmdrels_weight_analyze/0.3_0.1_0.6/ul_88824.xlsx","ul_88824")</f>
        <v>ul_88824</v>
      </c>
      <c r="B428">
        <v>0</v>
      </c>
      <c r="C428">
        <v>0.33333333333333331</v>
      </c>
      <c r="D428">
        <v>0</v>
      </c>
      <c r="E428">
        <v>0.55555555555555547</v>
      </c>
      <c r="F428">
        <v>0</v>
      </c>
      <c r="G428">
        <v>0.55555555555555547</v>
      </c>
    </row>
    <row r="429" spans="1:7" x14ac:dyDescent="0.15">
      <c r="A429" t="str">
        <f>HYPERLINK("./new_k5/query_cmdrels_weight_analyze/0.3_0.1_0.6/ul_8945.xlsx","ul_8945")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HYPERLINK("./new_k5/query_cmdrels_weight_analyze/0.3_0.1_0.6/ul_89933.xlsx","ul_89933")</f>
        <v>ul_89933</v>
      </c>
      <c r="B430">
        <v>0.5</v>
      </c>
      <c r="C430">
        <v>0</v>
      </c>
      <c r="D430">
        <v>0.5</v>
      </c>
      <c r="E430">
        <v>0.25</v>
      </c>
      <c r="F430">
        <v>0.5</v>
      </c>
      <c r="G430">
        <v>0.25</v>
      </c>
    </row>
    <row r="431" spans="1:7" x14ac:dyDescent="0.15">
      <c r="A431" t="str">
        <f>HYPERLINK("./new_k5/query_cmdrels_weight_analyze/0.3_0.1_0.6/ul_91297.xlsx","ul_91297")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HYPERLINK("./new_k5/query_cmdrels_weight_analyze/0.3_0.1_0.6/ul_9252.xlsx","ul_9252")</f>
        <v>ul_9252</v>
      </c>
      <c r="B432">
        <v>0</v>
      </c>
      <c r="C432">
        <v>0</v>
      </c>
      <c r="D432">
        <v>0.23333333333333331</v>
      </c>
      <c r="E432">
        <v>0</v>
      </c>
      <c r="F432">
        <v>0.23333333333333331</v>
      </c>
      <c r="G432">
        <v>0.04</v>
      </c>
    </row>
    <row r="433" spans="1:7" x14ac:dyDescent="0.15">
      <c r="A433" t="str">
        <f>HYPERLINK("./new_k5/query_cmdrels_weight_analyze/0.3_0.1_0.6/ul_92560.xlsx","ul_92560")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0.75</v>
      </c>
    </row>
    <row r="434" spans="1:7" x14ac:dyDescent="0.15">
      <c r="A434" t="str">
        <f>HYPERLINK("./new_k5/query_cmdrels_weight_analyze/0.3_0.1_0.6/ul_92799.xlsx","ul_92799")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0.27777777777777768</v>
      </c>
      <c r="F434">
        <v>0.53611111111111109</v>
      </c>
      <c r="G434">
        <v>0.53611111111111109</v>
      </c>
    </row>
    <row r="435" spans="1:7" x14ac:dyDescent="0.15">
      <c r="A435" t="str">
        <f>HYPERLINK("./new_k5/query_cmdrels_weight_analyze/0.3_0.1_0.6/ul_93139.xlsx","ul_93139")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HYPERLINK("./new_k5/query_cmdrels_weight_analyze/0.3_0.1_0.6/ul_98461.xlsx","ul_98461")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HYPERLINK("./new_k5/query_cmdrels_weight_analyze/0.3_0.2_0.5/au_102733.xlsx","au_102733")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HYPERLINK("./new_k5/query_cmdrels_weight_analyze/0.3_0.2_0.5/au_1029436.xlsx","au_1029436")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HYPERLINK("./new_k5/query_cmdrels_weight_analyze/0.3_0.2_0.5/au_1029502.xlsx","au_1029502")</f>
        <v>au_1029502</v>
      </c>
      <c r="B5">
        <v>0.25</v>
      </c>
      <c r="C5">
        <v>0.25</v>
      </c>
      <c r="D5">
        <v>0.25</v>
      </c>
      <c r="E5">
        <v>0.25</v>
      </c>
      <c r="F5">
        <v>0.375</v>
      </c>
      <c r="G5">
        <v>0.25</v>
      </c>
    </row>
    <row r="6" spans="1:7" x14ac:dyDescent="0.15">
      <c r="A6" t="str">
        <f>HYPERLINK("./new_k5/query_cmdrels_weight_analyze/0.3_0.2_0.5/au_1029531.xlsx","au_1029531")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HYPERLINK("./new_k5/query_cmdrels_weight_analyze/0.3_0.2_0.5/au_104542.xlsx","au_104542")</f>
        <v>au_104542</v>
      </c>
      <c r="B7">
        <v>0.125</v>
      </c>
      <c r="C7">
        <v>0.125</v>
      </c>
      <c r="D7">
        <v>0.25</v>
      </c>
      <c r="E7">
        <v>0.25</v>
      </c>
      <c r="F7">
        <v>0.25</v>
      </c>
      <c r="G7">
        <v>0.25</v>
      </c>
    </row>
    <row r="8" spans="1:7" x14ac:dyDescent="0.15">
      <c r="A8" t="str">
        <f>HYPERLINK("./new_k5/query_cmdrels_weight_analyze/0.3_0.2_0.5/au_109070.xlsx","au_109070")</f>
        <v>au_109070</v>
      </c>
      <c r="B8">
        <v>0</v>
      </c>
      <c r="C8">
        <v>0</v>
      </c>
      <c r="D8">
        <v>0.23333333333333331</v>
      </c>
      <c r="E8">
        <v>0.1</v>
      </c>
      <c r="F8">
        <v>0.3833333333333333</v>
      </c>
      <c r="G8">
        <v>0.1</v>
      </c>
    </row>
    <row r="9" spans="1:7" x14ac:dyDescent="0.15">
      <c r="A9" t="str">
        <f>HYPERLINK("./new_k5/query_cmdrels_weight_analyze/0.3_0.2_0.5/au_109381.xlsx","au_109381")</f>
        <v>au_109381</v>
      </c>
      <c r="B9">
        <v>0</v>
      </c>
      <c r="C9">
        <v>0</v>
      </c>
      <c r="D9">
        <v>0.25</v>
      </c>
      <c r="E9">
        <v>0.25</v>
      </c>
      <c r="F9">
        <v>0.25</v>
      </c>
      <c r="G9">
        <v>0.25</v>
      </c>
    </row>
    <row r="10" spans="1:7" x14ac:dyDescent="0.15">
      <c r="A10" t="str">
        <f>HYPERLINK("./new_k5/query_cmdrels_weight_analyze/0.3_0.2_0.5/au_110477.xlsx","au_110477")</f>
        <v>au_110477</v>
      </c>
      <c r="B10">
        <v>0.25</v>
      </c>
      <c r="C10">
        <v>0.25</v>
      </c>
      <c r="D10">
        <v>0.5</v>
      </c>
      <c r="E10">
        <v>0.5</v>
      </c>
      <c r="F10">
        <v>0.5</v>
      </c>
      <c r="G10">
        <v>0.6875</v>
      </c>
    </row>
    <row r="11" spans="1:7" x14ac:dyDescent="0.15">
      <c r="A11" t="str">
        <f>HYPERLINK("./new_k5/query_cmdrels_weight_analyze/0.3_0.2_0.5/au_111678.xlsx","au_111678")</f>
        <v>au_111678</v>
      </c>
      <c r="B11">
        <v>0</v>
      </c>
      <c r="C11">
        <v>0.33333333333333331</v>
      </c>
      <c r="D11">
        <v>0.1111111111111111</v>
      </c>
      <c r="E11">
        <v>0.33333333333333331</v>
      </c>
      <c r="F11">
        <v>0.1111111111111111</v>
      </c>
      <c r="G11">
        <v>0.33333333333333331</v>
      </c>
    </row>
    <row r="12" spans="1:7" x14ac:dyDescent="0.15">
      <c r="A12" t="str">
        <f>HYPERLINK("./new_k5/query_cmdrels_weight_analyze/0.3_0.2_0.5/au_112512.xlsx","au_112512")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HYPERLINK("./new_k5/query_cmdrels_weight_analyze/0.3_0.2_0.5/au_115369.xlsx","au_115369")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HYPERLINK("./new_k5/query_cmdrels_weight_analyze/0.3_0.2_0.5/au_11789.xlsx","au_11789")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HYPERLINK("./new_k5/query_cmdrels_weight_analyze/0.3_0.2_0.5/au_117950.xlsx","au_117950")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0.125</v>
      </c>
    </row>
    <row r="16" spans="1:7" x14ac:dyDescent="0.15">
      <c r="A16" t="str">
        <f>HYPERLINK("./new_k5/query_cmdrels_weight_analyze/0.3_0.2_0.5/au_122113.xlsx","au_122113")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HYPERLINK("./new_k5/query_cmdrels_weight_analyze/0.3_0.2_0.5/au_123798.xlsx","au_123798")</f>
        <v>au_123798</v>
      </c>
      <c r="B17">
        <v>0</v>
      </c>
      <c r="C17">
        <v>0</v>
      </c>
      <c r="D17">
        <v>5.5555555555555552E-2</v>
      </c>
      <c r="E17">
        <v>5.5555555555555552E-2</v>
      </c>
      <c r="F17">
        <v>0.23888888888888879</v>
      </c>
      <c r="G17">
        <v>0.23888888888888879</v>
      </c>
    </row>
    <row r="18" spans="1:7" x14ac:dyDescent="0.15">
      <c r="A18" t="str">
        <f>HYPERLINK("./new_k5/query_cmdrels_weight_analyze/0.3_0.2_0.5/au_125257.xlsx","au_125257")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HYPERLINK("./new_k5/query_cmdrels_weight_analyze/0.3_0.2_0.5/au_126153.xlsx","au_126153")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0.5</v>
      </c>
      <c r="F19">
        <v>0.45833333333333331</v>
      </c>
      <c r="G19">
        <v>0.66666666666666663</v>
      </c>
    </row>
    <row r="20" spans="1:7" x14ac:dyDescent="0.15">
      <c r="A20" t="str">
        <f>HYPERLINK("./new_k5/query_cmdrels_weight_analyze/0.3_0.2_0.5/au_127326.xlsx","au_127326")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HYPERLINK("./new_k5/query_cmdrels_weight_analyze/0.3_0.2_0.5/au_128463.xlsx","au_128463")</f>
        <v>au_128463</v>
      </c>
      <c r="B21">
        <v>0.33333333333333331</v>
      </c>
      <c r="C21">
        <v>0.33333333333333331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HYPERLINK("./new_k5/query_cmdrels_weight_analyze/0.3_0.2_0.5/au_130393.xlsx","au_130393")</f>
        <v>au_130393</v>
      </c>
      <c r="B22">
        <v>0</v>
      </c>
      <c r="C22">
        <v>0.25</v>
      </c>
      <c r="D22">
        <v>0.125</v>
      </c>
      <c r="E22">
        <v>0.25</v>
      </c>
      <c r="F22">
        <v>0.125</v>
      </c>
      <c r="G22">
        <v>0.375</v>
      </c>
    </row>
    <row r="23" spans="1:7" x14ac:dyDescent="0.15">
      <c r="A23" t="str">
        <f>HYPERLINK("./new_k5/query_cmdrels_weight_analyze/0.3_0.2_0.5/au_131570.xlsx","au_131570")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HYPERLINK("./new_k5/query_cmdrels_weight_analyze/0.3_0.2_0.5/au_133318.xlsx","au_133318")</f>
        <v>au_133318</v>
      </c>
      <c r="B24">
        <v>0</v>
      </c>
      <c r="C24">
        <v>0.25</v>
      </c>
      <c r="D24">
        <v>0</v>
      </c>
      <c r="E24">
        <v>0.25</v>
      </c>
      <c r="F24">
        <v>0</v>
      </c>
      <c r="G24">
        <v>0.35</v>
      </c>
    </row>
    <row r="25" spans="1:7" x14ac:dyDescent="0.15">
      <c r="A25" t="str">
        <f>HYPERLINK("./new_k5/query_cmdrels_weight_analyze/0.3_0.2_0.5/au_133343.xlsx","au_133343")</f>
        <v>au_133343</v>
      </c>
      <c r="B25">
        <v>0</v>
      </c>
      <c r="C25">
        <v>0</v>
      </c>
      <c r="D25">
        <v>0</v>
      </c>
      <c r="E25">
        <v>0.1111111111111111</v>
      </c>
      <c r="F25">
        <v>0</v>
      </c>
      <c r="G25">
        <v>0.27777777777777768</v>
      </c>
    </row>
    <row r="26" spans="1:7" x14ac:dyDescent="0.15">
      <c r="A26" t="str">
        <f>HYPERLINK("./new_k5/query_cmdrels_weight_analyze/0.3_0.2_0.5/au_133389.xlsx","au_133389")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HYPERLINK("./new_k5/query_cmdrels_weight_analyze/0.3_0.2_0.5/au_141277.xlsx","au_141277")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HYPERLINK("./new_k5/query_cmdrels_weight_analyze/0.3_0.2_0.5/au_143819.xlsx","au_143819")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HYPERLINK("./new_k5/query_cmdrels_weight_analyze/0.3_0.2_0.5/au_145935.xlsx","au_145935")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HYPERLINK("./new_k5/query_cmdrels_weight_analyze/0.3_0.2_0.5/au_147241.xlsx","au_147241")</f>
        <v>au_147241</v>
      </c>
      <c r="B30">
        <v>0</v>
      </c>
      <c r="C30">
        <v>0</v>
      </c>
      <c r="D30">
        <v>0.29166666666666657</v>
      </c>
      <c r="E30">
        <v>0.29166666666666657</v>
      </c>
      <c r="F30">
        <v>0.29166666666666657</v>
      </c>
      <c r="G30">
        <v>0.44166666666666671</v>
      </c>
    </row>
    <row r="31" spans="1:7" x14ac:dyDescent="0.15">
      <c r="A31" t="str">
        <f>HYPERLINK("./new_k5/query_cmdrels_weight_analyze/0.3_0.2_0.5/au_147800.xlsx","au_147800")</f>
        <v>au_147800</v>
      </c>
      <c r="B31">
        <v>0</v>
      </c>
      <c r="C31">
        <v>0</v>
      </c>
      <c r="D31">
        <v>0.1111111111111111</v>
      </c>
      <c r="E31">
        <v>0.1111111111111111</v>
      </c>
      <c r="F31">
        <v>0.1111111111111111</v>
      </c>
      <c r="G31">
        <v>0.1111111111111111</v>
      </c>
    </row>
    <row r="32" spans="1:7" x14ac:dyDescent="0.15">
      <c r="A32" t="str">
        <f>HYPERLINK("./new_k5/query_cmdrels_weight_analyze/0.3_0.2_0.5/au_148321.xlsx","au_148321")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0.40277777777777768</v>
      </c>
    </row>
    <row r="33" spans="1:7" x14ac:dyDescent="0.15">
      <c r="A33" t="str">
        <f>HYPERLINK("./new_k5/query_cmdrels_weight_analyze/0.3_0.2_0.5/au_148638.xlsx","au_148638")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HYPERLINK("./new_k5/query_cmdrels_weight_analyze/0.3_0.2_0.5/au_151049.xlsx","au_151049")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HYPERLINK("./new_k5/query_cmdrels_weight_analyze/0.3_0.2_0.5/au_151941.xlsx","au_151941")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HYPERLINK("./new_k5/query_cmdrels_weight_analyze/0.3_0.2_0.5/au_152297.xlsx","au_152297")</f>
        <v>au_152297</v>
      </c>
      <c r="B36">
        <v>0</v>
      </c>
      <c r="C36">
        <v>0</v>
      </c>
      <c r="D36">
        <v>7.1428571428571425E-2</v>
      </c>
      <c r="E36">
        <v>0.16666666666666671</v>
      </c>
      <c r="F36">
        <v>7.1428571428571425E-2</v>
      </c>
      <c r="G36">
        <v>0.27380952380952378</v>
      </c>
    </row>
    <row r="37" spans="1:7" x14ac:dyDescent="0.15">
      <c r="A37" t="str">
        <f>HYPERLINK("./new_k5/query_cmdrels_weight_analyze/0.3_0.2_0.5/au_153976.xlsx","au_153976")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0.16666666666666671</v>
      </c>
      <c r="F37">
        <v>0.33333333333333331</v>
      </c>
      <c r="G37">
        <v>0.23333333333333331</v>
      </c>
    </row>
    <row r="38" spans="1:7" x14ac:dyDescent="0.15">
      <c r="A38" t="str">
        <f>HYPERLINK("./new_k5/query_cmdrels_weight_analyze/0.3_0.2_0.5/au_154431.xlsx","au_154431")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HYPERLINK("./new_k5/query_cmdrels_weight_analyze/0.3_0.2_0.5/au_159708.xlsx","au_159708")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0.33333333333333331</v>
      </c>
      <c r="F39">
        <v>0.33333333333333331</v>
      </c>
      <c r="G39">
        <v>0.33333333333333331</v>
      </c>
    </row>
    <row r="40" spans="1:7" x14ac:dyDescent="0.15">
      <c r="A40" t="str">
        <f>HYPERLINK("./new_k5/query_cmdrels_weight_analyze/0.3_0.2_0.5/au_160869.xlsx","au_160869")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HYPERLINK("./new_k5/query_cmdrels_weight_analyze/0.3_0.2_0.5/au_161313.xlsx","au_161313")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</v>
      </c>
    </row>
    <row r="42" spans="1:7" x14ac:dyDescent="0.15">
      <c r="A42" t="str">
        <f>HYPERLINK("./new_k5/query_cmdrels_weight_analyze/0.3_0.2_0.5/au_162075.xlsx","au_162075")</f>
        <v>au_162075</v>
      </c>
      <c r="B42">
        <v>0.25</v>
      </c>
      <c r="C42">
        <v>0.25</v>
      </c>
      <c r="D42">
        <v>0.5</v>
      </c>
      <c r="E42">
        <v>0.25</v>
      </c>
      <c r="F42">
        <v>0.5</v>
      </c>
      <c r="G42">
        <v>0.375</v>
      </c>
    </row>
    <row r="43" spans="1:7" x14ac:dyDescent="0.15">
      <c r="A43" t="str">
        <f>HYPERLINK("./new_k5/query_cmdrels_weight_analyze/0.3_0.2_0.5/au_16277.xlsx","au_16277")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0.66666666666666663</v>
      </c>
    </row>
    <row r="44" spans="1:7" x14ac:dyDescent="0.15">
      <c r="A44" t="str">
        <f>HYPERLINK("./new_k5/query_cmdrels_weight_analyze/0.3_0.2_0.5/au_163155.xlsx","au_163155")</f>
        <v>au_163155</v>
      </c>
      <c r="B44">
        <v>0.125</v>
      </c>
      <c r="C44">
        <v>0.125</v>
      </c>
      <c r="D44">
        <v>0.375</v>
      </c>
      <c r="E44">
        <v>0.375</v>
      </c>
      <c r="F44">
        <v>0.5</v>
      </c>
      <c r="G44">
        <v>0.47499999999999998</v>
      </c>
    </row>
    <row r="45" spans="1:7" x14ac:dyDescent="0.15">
      <c r="A45" t="str">
        <f>HYPERLINK("./new_k5/query_cmdrels_weight_analyze/0.3_0.2_0.5/au_164473.xlsx","au_164473")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HYPERLINK("./new_k5/query_cmdrels_weight_analyze/0.3_0.2_0.5/au_16584.xlsx","au_16584")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9.0909090909090912E-2</v>
      </c>
      <c r="F46">
        <v>0.13636363636363641</v>
      </c>
      <c r="G46">
        <v>9.0909090909090912E-2</v>
      </c>
    </row>
    <row r="47" spans="1:7" x14ac:dyDescent="0.15">
      <c r="A47" t="str">
        <f>HYPERLINK("./new_k5/query_cmdrels_weight_analyze/0.3_0.2_0.5/au_166420.xlsx","au_166420")</f>
        <v>au_166420</v>
      </c>
      <c r="B47">
        <v>0.2</v>
      </c>
      <c r="C47">
        <v>0.2</v>
      </c>
      <c r="D47">
        <v>0.33333333333333331</v>
      </c>
      <c r="E47">
        <v>0.33333333333333331</v>
      </c>
      <c r="F47">
        <v>0.48333333333333328</v>
      </c>
      <c r="G47">
        <v>0.33333333333333331</v>
      </c>
    </row>
    <row r="48" spans="1:7" x14ac:dyDescent="0.15">
      <c r="A48" t="str">
        <f>HYPERLINK("./new_k5/query_cmdrels_weight_analyze/0.3_0.2_0.5/au_169473.xlsx","au_169473")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0.16666666666666671</v>
      </c>
      <c r="F48">
        <v>0.43333333333333329</v>
      </c>
      <c r="G48">
        <v>0.35</v>
      </c>
    </row>
    <row r="49" spans="1:7" x14ac:dyDescent="0.15">
      <c r="A49" t="str">
        <f>HYPERLINK("./new_k5/query_cmdrels_weight_analyze/0.3_0.2_0.5/au_169516.xlsx","au_169516")</f>
        <v>au_169516</v>
      </c>
      <c r="B49">
        <v>0.25</v>
      </c>
      <c r="C49">
        <v>0</v>
      </c>
      <c r="D49">
        <v>0.25</v>
      </c>
      <c r="E49">
        <v>0.29166666666666657</v>
      </c>
      <c r="F49">
        <v>0.25</v>
      </c>
      <c r="G49">
        <v>0.29166666666666657</v>
      </c>
    </row>
    <row r="50" spans="1:7" x14ac:dyDescent="0.15">
      <c r="A50" t="str">
        <f>HYPERLINK("./new_k5/query_cmdrels_weight_analyze/0.3_0.2_0.5/au_174292.xlsx","au_174292")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HYPERLINK("./new_k5/query_cmdrels_weight_analyze/0.3_0.2_0.5/au_178481.xlsx","au_178481")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HYPERLINK("./new_k5/query_cmdrels_weight_analyze/0.3_0.2_0.5/au_180925.xlsx","au_180925")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HYPERLINK("./new_k5/query_cmdrels_weight_analyze/0.3_0.2_0.5/au_187888.xlsx","au_187888")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HYPERLINK("./new_k5/query_cmdrels_weight_analyze/0.3_0.2_0.5/au_191390.xlsx","au_191390")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HYPERLINK("./new_k5/query_cmdrels_weight_analyze/0.3_0.2_0.5/au_192798.xlsx","au_192798")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HYPERLINK("./new_k5/query_cmdrels_weight_analyze/0.3_0.2_0.5/au_201775.xlsx","au_201775")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0.55555555555555547</v>
      </c>
      <c r="F56">
        <v>0.66666666666666663</v>
      </c>
      <c r="G56">
        <v>0.75555555555555554</v>
      </c>
    </row>
    <row r="57" spans="1:7" x14ac:dyDescent="0.15">
      <c r="A57" t="str">
        <f>HYPERLINK("./new_k5/query_cmdrels_weight_analyze/0.3_0.2_0.5/au_204166.xlsx","au_204166")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HYPERLINK("./new_k5/query_cmdrels_weight_analyze/0.3_0.2_0.5/au_207447.xlsx","au_207447")</f>
        <v>au_207447</v>
      </c>
      <c r="B58">
        <v>0.33333333333333331</v>
      </c>
      <c r="C58">
        <v>0.33333333333333331</v>
      </c>
      <c r="D58">
        <v>0.33333333333333331</v>
      </c>
      <c r="E58">
        <v>0.33333333333333331</v>
      </c>
      <c r="F58">
        <v>0.33333333333333331</v>
      </c>
      <c r="G58">
        <v>0.46666666666666662</v>
      </c>
    </row>
    <row r="59" spans="1:7" x14ac:dyDescent="0.15">
      <c r="A59" t="str">
        <f>HYPERLINK("./new_k5/query_cmdrels_weight_analyze/0.3_0.2_0.5/au_210680.xlsx","au_210680")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HYPERLINK("./new_k5/query_cmdrels_weight_analyze/0.3_0.2_0.5/au_214246.xlsx","au_214246")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HYPERLINK("./new_k5/query_cmdrels_weight_analyze/0.3_0.2_0.5/au_214643.xlsx","au_214643")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HYPERLINK("./new_k5/query_cmdrels_weight_analyze/0.3_0.2_0.5/au_2194.xlsx","au_2194")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HYPERLINK("./new_k5/query_cmdrels_weight_analyze/0.3_0.2_0.5/au_221962.xlsx","au_221962")</f>
        <v>au_221962</v>
      </c>
      <c r="B63">
        <v>0</v>
      </c>
      <c r="C63">
        <v>0</v>
      </c>
      <c r="D63">
        <v>5.5555555555555552E-2</v>
      </c>
      <c r="E63">
        <v>8.3333333333333329E-2</v>
      </c>
      <c r="F63">
        <v>0.1388888888888889</v>
      </c>
      <c r="G63">
        <v>0.15</v>
      </c>
    </row>
    <row r="64" spans="1:7" x14ac:dyDescent="0.15">
      <c r="A64" t="str">
        <f>HYPERLINK("./new_k5/query_cmdrels_weight_analyze/0.3_0.2_0.5/au_22608.xlsx","au_22608")</f>
        <v>au_22608</v>
      </c>
      <c r="B64">
        <v>0.33333333333333331</v>
      </c>
      <c r="C64">
        <v>0.33333333333333331</v>
      </c>
      <c r="D64">
        <v>0.33333333333333331</v>
      </c>
      <c r="E64">
        <v>0.33333333333333331</v>
      </c>
      <c r="F64">
        <v>0.33333333333333331</v>
      </c>
      <c r="G64">
        <v>0.5</v>
      </c>
    </row>
    <row r="65" spans="1:7" x14ac:dyDescent="0.15">
      <c r="A65" t="str">
        <f>HYPERLINK("./new_k5/query_cmdrels_weight_analyze/0.3_0.2_0.5/au_230698.xlsx","au_230698")</f>
        <v>au_230698</v>
      </c>
      <c r="B65">
        <v>0.125</v>
      </c>
      <c r="C65">
        <v>0.125</v>
      </c>
      <c r="D65">
        <v>0.25</v>
      </c>
      <c r="E65">
        <v>0.25</v>
      </c>
      <c r="F65">
        <v>0.32500000000000001</v>
      </c>
      <c r="G65">
        <v>0.34375</v>
      </c>
    </row>
    <row r="66" spans="1:7" x14ac:dyDescent="0.15">
      <c r="A66" t="str">
        <f>HYPERLINK("./new_k5/query_cmdrels_weight_analyze/0.3_0.2_0.5/au_232442.xlsx","au_232442")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HYPERLINK("./new_k5/query_cmdrels_weight_analyze/0.3_0.2_0.5/au_233378.xlsx","au_233378")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HYPERLINK("./new_k5/query_cmdrels_weight_analyze/0.3_0.2_0.5/au_24027.xlsx","au_24027")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HYPERLINK("./new_k5/query_cmdrels_weight_analyze/0.3_0.2_0.5/au_246647.xlsx","au_246647")</f>
        <v>au_246647</v>
      </c>
      <c r="B69">
        <v>0.125</v>
      </c>
      <c r="C69">
        <v>0.125</v>
      </c>
      <c r="D69">
        <v>0.375</v>
      </c>
      <c r="E69">
        <v>0.25</v>
      </c>
      <c r="F69">
        <v>0.47499999999999998</v>
      </c>
      <c r="G69">
        <v>0.32500000000000001</v>
      </c>
    </row>
    <row r="70" spans="1:7" x14ac:dyDescent="0.15">
      <c r="A70" t="str">
        <f>HYPERLINK("./new_k5/query_cmdrels_weight_analyze/0.3_0.2_0.5/au_254424.xlsx","au_254424")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HYPERLINK("./new_k5/query_cmdrels_weight_analyze/0.3_0.2_0.5/au_255890.xlsx","au_255890")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HYPERLINK("./new_k5/query_cmdrels_weight_analyze/0.3_0.2_0.5/au_257248.xlsx","au_257248")</f>
        <v>au_257248</v>
      </c>
      <c r="B72">
        <v>0</v>
      </c>
      <c r="C72">
        <v>0.14285714285714279</v>
      </c>
      <c r="D72">
        <v>0.16666666666666671</v>
      </c>
      <c r="E72">
        <v>0.23809523809523811</v>
      </c>
      <c r="F72">
        <v>0.25238095238095237</v>
      </c>
      <c r="G72">
        <v>0.32380952380952382</v>
      </c>
    </row>
    <row r="73" spans="1:7" x14ac:dyDescent="0.15">
      <c r="A73" t="str">
        <f>HYPERLINK("./new_k5/query_cmdrels_weight_analyze/0.3_0.2_0.5/au_259354.xlsx","au_259354")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0.42857142857142849</v>
      </c>
    </row>
    <row r="74" spans="1:7" x14ac:dyDescent="0.15">
      <c r="A74" t="str">
        <f>HYPERLINK("./new_k5/query_cmdrels_weight_analyze/0.3_0.2_0.5/au_263378.xlsx","au_263378")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0.625</v>
      </c>
    </row>
    <row r="75" spans="1:7" x14ac:dyDescent="0.15">
      <c r="A75" t="str">
        <f>HYPERLINK("./new_k5/query_cmdrels_weight_analyze/0.3_0.2_0.5/au_264215.xlsx","au_264215")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HYPERLINK("./new_k5/query_cmdrels_weight_analyze/0.3_0.2_0.5/au_265176.xlsx","au_265176")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HYPERLINK("./new_k5/query_cmdrels_weight_analyze/0.3_0.2_0.5/au_275704.xlsx","au_275704")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HYPERLINK("./new_k5/query_cmdrels_weight_analyze/0.3_0.2_0.5/au_276669.xlsx","au_276669")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HYPERLINK("./new_k5/query_cmdrels_weight_analyze/0.3_0.2_0.5/au_277565.xlsx","au_277565")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HYPERLINK("./new_k5/query_cmdrels_weight_analyze/0.3_0.2_0.5/au_278403.xlsx","au_278403")</f>
        <v>au_278403</v>
      </c>
      <c r="B80">
        <v>0</v>
      </c>
      <c r="C80">
        <v>0</v>
      </c>
      <c r="D80">
        <v>8.3333333333333329E-2</v>
      </c>
      <c r="E80">
        <v>8.3333333333333329E-2</v>
      </c>
      <c r="F80">
        <v>0.20833333333333329</v>
      </c>
      <c r="G80">
        <v>0.20833333333333329</v>
      </c>
    </row>
    <row r="81" spans="1:7" x14ac:dyDescent="0.15">
      <c r="A81" t="str">
        <f>HYPERLINK("./new_k5/query_cmdrels_weight_analyze/0.3_0.2_0.5/au_28039.xlsx","au_28039")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HYPERLINK("./new_k5/query_cmdrels_weight_analyze/0.3_0.2_0.5/au_281509.xlsx","au_281509")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HYPERLINK("./new_k5/query_cmdrels_weight_analyze/0.3_0.2_0.5/au_282806.xlsx","au_282806")</f>
        <v>au_282806</v>
      </c>
      <c r="B83">
        <v>0</v>
      </c>
      <c r="C83">
        <v>0.33333333333333331</v>
      </c>
      <c r="D83">
        <v>0.38888888888888878</v>
      </c>
      <c r="E83">
        <v>0.55555555555555547</v>
      </c>
      <c r="F83">
        <v>0.38888888888888878</v>
      </c>
      <c r="G83">
        <v>0.75555555555555554</v>
      </c>
    </row>
    <row r="84" spans="1:7" x14ac:dyDescent="0.15">
      <c r="A84" t="str">
        <f>HYPERLINK("./new_k5/query_cmdrels_weight_analyze/0.3_0.2_0.5/au_283559.xlsx","au_283559")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HYPERLINK("./new_k5/query_cmdrels_weight_analyze/0.3_0.2_0.5/au_285539.xlsx","au_285539")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HYPERLINK("./new_k5/query_cmdrels_weight_analyze/0.3_0.2_0.5/au_287532.xlsx","au_287532")</f>
        <v>au_287532</v>
      </c>
      <c r="B86">
        <v>0</v>
      </c>
      <c r="C86">
        <v>0</v>
      </c>
      <c r="D86">
        <v>0</v>
      </c>
      <c r="E86">
        <v>0.125</v>
      </c>
      <c r="F86">
        <v>0</v>
      </c>
      <c r="G86">
        <v>0.125</v>
      </c>
    </row>
    <row r="87" spans="1:7" x14ac:dyDescent="0.15">
      <c r="A87" t="str">
        <f>HYPERLINK("./new_k5/query_cmdrels_weight_analyze/0.3_0.2_0.5/au_294257.xlsx","au_294257")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0.42857142857142849</v>
      </c>
      <c r="F87">
        <v>0.7142857142857143</v>
      </c>
      <c r="G87">
        <v>0.54285714285714282</v>
      </c>
    </row>
    <row r="88" spans="1:7" x14ac:dyDescent="0.15">
      <c r="A88" t="str">
        <f>HYPERLINK("./new_k5/query_cmdrels_weight_analyze/0.3_0.2_0.5/au_296155.xlsx","au_296155")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HYPERLINK("./new_k5/query_cmdrels_weight_analyze/0.3_0.2_0.5/au_299975.xlsx","au_299975")</f>
        <v>au_299975</v>
      </c>
      <c r="B89">
        <v>0.25</v>
      </c>
      <c r="C89">
        <v>0</v>
      </c>
      <c r="D89">
        <v>0.5</v>
      </c>
      <c r="E89">
        <v>8.3333333333333329E-2</v>
      </c>
      <c r="F89">
        <v>0.6875</v>
      </c>
      <c r="G89">
        <v>8.3333333333333329E-2</v>
      </c>
    </row>
    <row r="90" spans="1:7" x14ac:dyDescent="0.15">
      <c r="A90" t="str">
        <f>HYPERLINK("./new_k5/query_cmdrels_weight_analyze/0.3_0.2_0.5/au_301096.xlsx","au_301096")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HYPERLINK("./new_k5/query_cmdrels_weight_analyze/0.3_0.2_0.5/au_303593.xlsx","au_303593")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HYPERLINK("./new_k5/query_cmdrels_weight_analyze/0.3_0.2_0.5/au_303849.xlsx","au_303849")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HYPERLINK("./new_k5/query_cmdrels_weight_analyze/0.3_0.2_0.5/au_307541.xlsx","au_307541")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HYPERLINK("./new_k5/query_cmdrels_weight_analyze/0.3_0.2_0.5/au_307688.xlsx","au_307688")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HYPERLINK("./new_k5/query_cmdrels_weight_analyze/0.3_0.2_0.5/au_309047.xlsx","au_309047")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HYPERLINK("./new_k5/query_cmdrels_weight_analyze/0.3_0.2_0.5/au_311558.xlsx","au_311558")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0.56666666666666665</v>
      </c>
    </row>
    <row r="97" spans="1:7" x14ac:dyDescent="0.15">
      <c r="A97" t="str">
        <f>HYPERLINK("./new_k5/query_cmdrels_weight_analyze/0.3_0.2_0.5/au_318973.xlsx","au_318973")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HYPERLINK("./new_k5/query_cmdrels_weight_analyze/0.3_0.2_0.5/au_3205.xlsx","au_3205")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HYPERLINK("./new_k5/query_cmdrels_weight_analyze/0.3_0.2_0.5/au_323131.xlsx","au_323131")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HYPERLINK("./new_k5/query_cmdrels_weight_analyze/0.3_0.2_0.5/au_323392.xlsx","au_323392")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HYPERLINK("./new_k5/query_cmdrels_weight_analyze/0.3_0.2_0.5/au_325368.xlsx","au_325368")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HYPERLINK("./new_k5/query_cmdrels_weight_analyze/0.3_0.2_0.5/au_328162.xlsx","au_328162")</f>
        <v>au_328162</v>
      </c>
      <c r="B102">
        <v>0.33333333333333331</v>
      </c>
      <c r="C102">
        <v>0.33333333333333331</v>
      </c>
      <c r="D102">
        <v>1</v>
      </c>
      <c r="E102">
        <v>0.55555555555555547</v>
      </c>
      <c r="F102">
        <v>1</v>
      </c>
      <c r="G102">
        <v>0.80555555555555547</v>
      </c>
    </row>
    <row r="103" spans="1:7" x14ac:dyDescent="0.15">
      <c r="A103" t="str">
        <f>HYPERLINK("./new_k5/query_cmdrels_weight_analyze/0.3_0.2_0.5/au_330148.xlsx","au_330148")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HYPERLINK("./new_k5/query_cmdrels_weight_analyze/0.3_0.2_0.5/au_332315.xlsx","au_332315")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HYPERLINK("./new_k5/query_cmdrels_weight_analyze/0.3_0.2_0.5/au_334081.xlsx","au_334081")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HYPERLINK("./new_k5/query_cmdrels_weight_analyze/0.3_0.2_0.5/au_34077.xlsx","au_34077")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0.33333333333333331</v>
      </c>
      <c r="F106">
        <v>0.33333333333333331</v>
      </c>
      <c r="G106">
        <v>0.59166666666666667</v>
      </c>
    </row>
    <row r="107" spans="1:7" x14ac:dyDescent="0.15">
      <c r="A107" t="str">
        <f>HYPERLINK("./new_k5/query_cmdrels_weight_analyze/0.3_0.2_0.5/au_341428.xlsx","au_341428")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0.42857142857142849</v>
      </c>
      <c r="F107">
        <v>0.5714285714285714</v>
      </c>
      <c r="G107">
        <v>0.42857142857142849</v>
      </c>
    </row>
    <row r="108" spans="1:7" x14ac:dyDescent="0.15">
      <c r="A108" t="str">
        <f>HYPERLINK("./new_k5/query_cmdrels_weight_analyze/0.3_0.2_0.5/au_341584.xlsx","au_341584")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HYPERLINK("./new_k5/query_cmdrels_weight_analyze/0.3_0.2_0.5/au_346864.xlsx","au_346864")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0.2857142857142857</v>
      </c>
      <c r="F109">
        <v>0.23809523809523811</v>
      </c>
      <c r="G109">
        <v>0.39285714285714279</v>
      </c>
    </row>
    <row r="110" spans="1:7" x14ac:dyDescent="0.15">
      <c r="A110" t="str">
        <f>HYPERLINK("./new_k5/query_cmdrels_weight_analyze/0.3_0.2_0.5/au_351765.xlsx","au_351765")</f>
        <v>au_351765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0.1</v>
      </c>
    </row>
    <row r="111" spans="1:7" x14ac:dyDescent="0.15">
      <c r="A111" t="str">
        <f>HYPERLINK("./new_k5/query_cmdrels_weight_analyze/0.3_0.2_0.5/au_35922.xlsx","au_35922")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HYPERLINK("./new_k5/query_cmdrels_weight_analyze/0.3_0.2_0.5/au_359856.xlsx","au_359856")</f>
        <v>au_359856</v>
      </c>
      <c r="B112">
        <v>0.25</v>
      </c>
      <c r="C112">
        <v>0.25</v>
      </c>
      <c r="D112">
        <v>0.75</v>
      </c>
      <c r="E112">
        <v>0.5</v>
      </c>
      <c r="F112">
        <v>0.95</v>
      </c>
      <c r="G112">
        <v>0.5</v>
      </c>
    </row>
    <row r="113" spans="1:7" x14ac:dyDescent="0.15">
      <c r="A113" t="str">
        <f>HYPERLINK("./new_k5/query_cmdrels_weight_analyze/0.3_0.2_0.5/au_360423.xlsx","au_360423")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HYPERLINK("./new_k5/query_cmdrels_weight_analyze/0.3_0.2_0.5/au_36287.xlsx","au_36287")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HYPERLINK("./new_k5/query_cmdrels_weight_analyze/0.3_0.2_0.5/au_366742.xlsx","au_366742")</f>
        <v>au_366742</v>
      </c>
      <c r="B115">
        <v>0</v>
      </c>
      <c r="C115">
        <v>0</v>
      </c>
      <c r="D115">
        <v>0</v>
      </c>
      <c r="E115">
        <v>8.3333333333333329E-2</v>
      </c>
      <c r="F115">
        <v>0</v>
      </c>
      <c r="G115">
        <v>0.20833333333333329</v>
      </c>
    </row>
    <row r="116" spans="1:7" x14ac:dyDescent="0.15">
      <c r="A116" t="str">
        <f>HYPERLINK("./new_k5/query_cmdrels_weight_analyze/0.3_0.2_0.5/au_377937.xlsx","au_377937")</f>
        <v>au_377937</v>
      </c>
      <c r="B116">
        <v>0.25</v>
      </c>
      <c r="C116">
        <v>0.25</v>
      </c>
      <c r="D116">
        <v>0.5</v>
      </c>
      <c r="E116">
        <v>0.75</v>
      </c>
      <c r="F116">
        <v>0.5</v>
      </c>
      <c r="G116">
        <v>0.75</v>
      </c>
    </row>
    <row r="117" spans="1:7" x14ac:dyDescent="0.15">
      <c r="A117" t="str">
        <f>HYPERLINK("./new_k5/query_cmdrels_weight_analyze/0.3_0.2_0.5/au_383997.xlsx","au_383997")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0.42857142857142849</v>
      </c>
      <c r="F117">
        <v>0.2857142857142857</v>
      </c>
      <c r="G117">
        <v>0.54285714285714282</v>
      </c>
    </row>
    <row r="118" spans="1:7" x14ac:dyDescent="0.15">
      <c r="A118" t="str">
        <f>HYPERLINK("./new_k5/query_cmdrels_weight_analyze/0.3_0.2_0.5/au_3883.xlsx","au_3883")</f>
        <v>au_3883</v>
      </c>
      <c r="B118">
        <v>0.25</v>
      </c>
      <c r="C118">
        <v>0.25</v>
      </c>
      <c r="D118">
        <v>0.25</v>
      </c>
      <c r="E118">
        <v>0.5</v>
      </c>
      <c r="F118">
        <v>0.375</v>
      </c>
      <c r="G118">
        <v>0.65</v>
      </c>
    </row>
    <row r="119" spans="1:7" x14ac:dyDescent="0.15">
      <c r="A119" t="str">
        <f>HYPERLINK("./new_k5/query_cmdrels_weight_analyze/0.3_0.2_0.5/au_396883.xlsx","au_396883")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HYPERLINK("./new_k5/query_cmdrels_weight_analyze/0.3_0.2_0.5/au_39760.xlsx","au_39760")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HYPERLINK("./new_k5/query_cmdrels_weight_analyze/0.3_0.2_0.5/au_398818.xlsx","au_398818")</f>
        <v>au_398818</v>
      </c>
      <c r="B121">
        <v>0.5</v>
      </c>
      <c r="C121">
        <v>0.5</v>
      </c>
      <c r="D121">
        <v>0.83333333333333326</v>
      </c>
      <c r="E121">
        <v>0.5</v>
      </c>
      <c r="F121">
        <v>0.83333333333333326</v>
      </c>
      <c r="G121">
        <v>0.75</v>
      </c>
    </row>
    <row r="122" spans="1:7" x14ac:dyDescent="0.15">
      <c r="A122" t="str">
        <f>HYPERLINK("./new_k5/query_cmdrels_weight_analyze/0.3_0.2_0.5/au_400807.xlsx","au_400807")</f>
        <v>au_400807</v>
      </c>
      <c r="B122">
        <v>0</v>
      </c>
      <c r="C122">
        <v>0.33333333333333331</v>
      </c>
      <c r="D122">
        <v>0.16666666666666671</v>
      </c>
      <c r="E122">
        <v>0.55555555555555547</v>
      </c>
      <c r="F122">
        <v>0.16666666666666671</v>
      </c>
      <c r="G122">
        <v>0.80555555555555547</v>
      </c>
    </row>
    <row r="123" spans="1:7" x14ac:dyDescent="0.15">
      <c r="A123" t="str">
        <f>HYPERLINK("./new_k5/query_cmdrels_weight_analyze/0.3_0.2_0.5/au_408611.xlsx","au_408611")</f>
        <v>au_408611</v>
      </c>
      <c r="B123">
        <v>0.33333333333333331</v>
      </c>
      <c r="C123">
        <v>0</v>
      </c>
      <c r="D123">
        <v>0.33333333333333331</v>
      </c>
      <c r="E123">
        <v>0.16666666666666671</v>
      </c>
      <c r="F123">
        <v>0.33333333333333331</v>
      </c>
      <c r="G123">
        <v>0.16666666666666671</v>
      </c>
    </row>
    <row r="124" spans="1:7" x14ac:dyDescent="0.15">
      <c r="A124" t="str">
        <f>HYPERLINK("./new_k5/query_cmdrels_weight_analyze/0.3_0.2_0.5/au_414737.xlsx","au_414737")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HYPERLINK("./new_k5/query_cmdrels_weight_analyze/0.3_0.2_0.5/au_420722.xlsx","au_420722")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HYPERLINK("./new_k5/query_cmdrels_weight_analyze/0.3_0.2_0.5/au_423942.xlsx","au_423942")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0.55555555555555547</v>
      </c>
      <c r="F126">
        <v>0.8666666666666667</v>
      </c>
      <c r="G126">
        <v>0.55555555555555547</v>
      </c>
    </row>
    <row r="127" spans="1:7" x14ac:dyDescent="0.15">
      <c r="A127" t="str">
        <f>HYPERLINK("./new_k5/query_cmdrels_weight_analyze/0.3_0.2_0.5/au_430382.xlsx","au_430382")</f>
        <v>au_430382</v>
      </c>
      <c r="B127">
        <v>0</v>
      </c>
      <c r="C127">
        <v>0.25</v>
      </c>
      <c r="D127">
        <v>0.29166666666666657</v>
      </c>
      <c r="E127">
        <v>0.41666666666666657</v>
      </c>
      <c r="F127">
        <v>0.29166666666666657</v>
      </c>
      <c r="G127">
        <v>0.41666666666666657</v>
      </c>
    </row>
    <row r="128" spans="1:7" x14ac:dyDescent="0.15">
      <c r="A128" t="str">
        <f>HYPERLINK("./new_k5/query_cmdrels_weight_analyze/0.3_0.2_0.5/au_432836.xlsx","au_432836")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HYPERLINK("./new_k5/query_cmdrels_weight_analyze/0.3_0.2_0.5/au_440326.xlsx","au_440326")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HYPERLINK("./new_k5/query_cmdrels_weight_analyze/0.3_0.2_0.5/au_442914.xlsx","au_442914")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HYPERLINK("./new_k5/query_cmdrels_weight_analyze/0.3_0.2_0.5/au_443227.xlsx","au_443227")</f>
        <v>au_443227</v>
      </c>
      <c r="B131">
        <v>0.5</v>
      </c>
      <c r="C131">
        <v>0</v>
      </c>
      <c r="D131">
        <v>0.5</v>
      </c>
      <c r="E131">
        <v>0</v>
      </c>
      <c r="F131">
        <v>0.5</v>
      </c>
      <c r="G131">
        <v>0</v>
      </c>
    </row>
    <row r="132" spans="1:7" x14ac:dyDescent="0.15">
      <c r="A132" t="str">
        <f>HYPERLINK("./new_k5/query_cmdrels_weight_analyze/0.3_0.2_0.5/au_44534.xlsx","au_44534")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HYPERLINK("./new_k5/query_cmdrels_weight_analyze/0.3_0.2_0.5/au_451805.xlsx","au_451805")</f>
        <v>au_451805</v>
      </c>
      <c r="B133">
        <v>0.33333333333333331</v>
      </c>
      <c r="C133">
        <v>0</v>
      </c>
      <c r="D133">
        <v>0.33333333333333331</v>
      </c>
      <c r="E133">
        <v>0.16666666666666671</v>
      </c>
      <c r="F133">
        <v>0.33333333333333331</v>
      </c>
      <c r="G133">
        <v>0.16666666666666671</v>
      </c>
    </row>
    <row r="134" spans="1:7" x14ac:dyDescent="0.15">
      <c r="A134" t="str">
        <f>HYPERLINK("./new_k5/query_cmdrels_weight_analyze/0.3_0.2_0.5/au_464264.xlsx","au_464264")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0.16666666666666671</v>
      </c>
    </row>
    <row r="135" spans="1:7" x14ac:dyDescent="0.15">
      <c r="A135" t="str">
        <f>HYPERLINK("./new_k5/query_cmdrels_weight_analyze/0.3_0.2_0.5/au_468808.xlsx","au_468808")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HYPERLINK("./new_k5/query_cmdrels_weight_analyze/0.3_0.2_0.5/au_469143.xlsx","au_469143")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HYPERLINK("./new_k5/query_cmdrels_weight_analyze/0.3_0.2_0.5/au_470237.xlsx","au_470237")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HYPERLINK("./new_k5/query_cmdrels_weight_analyze/0.3_0.2_0.5/au_473037.xlsx","au_473037")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</v>
      </c>
    </row>
    <row r="139" spans="1:7" x14ac:dyDescent="0.15">
      <c r="A139" t="str">
        <f>HYPERLINK("./new_k5/query_cmdrels_weight_analyze/0.3_0.2_0.5/au_48362.xlsx","au_48362")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HYPERLINK("./new_k5/query_cmdrels_weight_analyze/0.3_0.2_0.5/au_488435.xlsx","au_488435")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HYPERLINK("./new_k5/query_cmdrels_weight_analyze/0.3_0.2_0.5/au_493826.xlsx","au_493826")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HYPERLINK("./new_k5/query_cmdrels_weight_analyze/0.3_0.2_0.5/au_502110.xlsx","au_502110")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HYPERLINK("./new_k5/query_cmdrels_weight_analyze/0.3_0.2_0.5/au_50344.xlsx","au_50344")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HYPERLINK("./new_k5/query_cmdrels_weight_analyze/0.3_0.2_0.5/au_511467.xlsx","au_511467")</f>
        <v>au_511467</v>
      </c>
      <c r="B144">
        <v>0</v>
      </c>
      <c r="C144">
        <v>0.16666666666666671</v>
      </c>
      <c r="D144">
        <v>0.19444444444444439</v>
      </c>
      <c r="E144">
        <v>0.16666666666666671</v>
      </c>
      <c r="F144">
        <v>0.19444444444444439</v>
      </c>
      <c r="G144">
        <v>0.16666666666666671</v>
      </c>
    </row>
    <row r="145" spans="1:7" x14ac:dyDescent="0.15">
      <c r="A145" t="str">
        <f>HYPERLINK("./new_k5/query_cmdrels_weight_analyze/0.3_0.2_0.5/au_513046.xlsx","au_513046")</f>
        <v>au_513046</v>
      </c>
      <c r="B145">
        <v>0.25</v>
      </c>
      <c r="C145">
        <v>0</v>
      </c>
      <c r="D145">
        <v>0.5</v>
      </c>
      <c r="E145">
        <v>0.29166666666666657</v>
      </c>
      <c r="F145">
        <v>0.5</v>
      </c>
      <c r="G145">
        <v>0.29166666666666657</v>
      </c>
    </row>
    <row r="146" spans="1:7" x14ac:dyDescent="0.15">
      <c r="A146" t="str">
        <f>HYPERLINK("./new_k5/query_cmdrels_weight_analyze/0.3_0.2_0.5/au_517354.xlsx","au_517354")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0.14285714285714279</v>
      </c>
      <c r="F146">
        <v>0.2142857142857143</v>
      </c>
      <c r="G146">
        <v>0.3</v>
      </c>
    </row>
    <row r="147" spans="1:7" x14ac:dyDescent="0.15">
      <c r="A147" t="str">
        <f>HYPERLINK("./new_k5/query_cmdrels_weight_analyze/0.3_0.2_0.5/au_522431.xlsx","au_522431")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0.3833333333333333</v>
      </c>
    </row>
    <row r="148" spans="1:7" x14ac:dyDescent="0.15">
      <c r="A148" t="str">
        <f>HYPERLINK("./new_k5/query_cmdrels_weight_analyze/0.3_0.2_0.5/au_52773.xlsx","au_52773")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0.04</v>
      </c>
    </row>
    <row r="149" spans="1:7" x14ac:dyDescent="0.15">
      <c r="A149" t="str">
        <f>HYPERLINK("./new_k5/query_cmdrels_weight_analyze/0.3_0.2_0.5/au_528411.xlsx","au_528411")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HYPERLINK("./new_k5/query_cmdrels_weight_analyze/0.3_0.2_0.5/au_53263.xlsx","au_53263")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0.75</v>
      </c>
    </row>
    <row r="151" spans="1:7" x14ac:dyDescent="0.15">
      <c r="A151" t="str">
        <f>HYPERLINK("./new_k5/query_cmdrels_weight_analyze/0.3_0.2_0.5/au_53444.xlsx","au_53444")</f>
        <v>au_53444</v>
      </c>
      <c r="B151">
        <v>0.5</v>
      </c>
      <c r="C151">
        <v>0</v>
      </c>
      <c r="D151">
        <v>0.5</v>
      </c>
      <c r="E151">
        <v>0</v>
      </c>
      <c r="F151">
        <v>0.5</v>
      </c>
      <c r="G151">
        <v>0</v>
      </c>
    </row>
    <row r="152" spans="1:7" x14ac:dyDescent="0.15">
      <c r="A152" t="str">
        <f>HYPERLINK("./new_k5/query_cmdrels_weight_analyze/0.3_0.2_0.5/au_538208.xlsx","au_538208")</f>
        <v>au_538208</v>
      </c>
      <c r="B152">
        <v>0.125</v>
      </c>
      <c r="C152">
        <v>0.125</v>
      </c>
      <c r="D152">
        <v>0.375</v>
      </c>
      <c r="E152">
        <v>0.375</v>
      </c>
      <c r="F152">
        <v>0.5</v>
      </c>
      <c r="G152">
        <v>0.5</v>
      </c>
    </row>
    <row r="153" spans="1:7" x14ac:dyDescent="0.15">
      <c r="A153" t="str">
        <f>HYPERLINK("./new_k5/query_cmdrels_weight_analyze/0.3_0.2_0.5/au_53822.xlsx","au_53822")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HYPERLINK("./new_k5/query_cmdrels_weight_analyze/0.3_0.2_0.5/au_539243.xlsx","au_539243")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0.33333333333333331</v>
      </c>
    </row>
    <row r="155" spans="1:7" x14ac:dyDescent="0.15">
      <c r="A155" t="str">
        <f>HYPERLINK("./new_k5/query_cmdrels_weight_analyze/0.3_0.2_0.5/au_558280.xlsx","au_558280")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HYPERLINK("./new_k5/query_cmdrels_weight_analyze/0.3_0.2_0.5/au_558669.xlsx","au_558669")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HYPERLINK("./new_k5/query_cmdrels_weight_analyze/0.3_0.2_0.5/au_55868.xlsx","au_55868")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HYPERLINK("./new_k5/query_cmdrels_weight_analyze/0.3_0.2_0.5/au_561.xlsx","au_561")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0.5</v>
      </c>
    </row>
    <row r="159" spans="1:7" x14ac:dyDescent="0.15">
      <c r="A159" t="str">
        <f>HYPERLINK("./new_k5/query_cmdrels_weight_analyze/0.3_0.2_0.5/au_564567.xlsx","au_564567")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HYPERLINK("./new_k5/query_cmdrels_weight_analyze/0.3_0.2_0.5/au_57994.xlsx","au_57994")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0.54285714285714282</v>
      </c>
    </row>
    <row r="161" spans="1:7" x14ac:dyDescent="0.15">
      <c r="A161" t="str">
        <f>HYPERLINK("./new_k5/query_cmdrels_weight_analyze/0.3_0.2_0.5/au_589210.xlsx","au_589210")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0.375</v>
      </c>
    </row>
    <row r="162" spans="1:7" x14ac:dyDescent="0.15">
      <c r="A162" t="str">
        <f>HYPERLINK("./new_k5/query_cmdrels_weight_analyze/0.3_0.2_0.5/au_5911.xlsx","au_5911")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HYPERLINK("./new_k5/query_cmdrels_weight_analyze/0.3_0.2_0.5/au_59356.xlsx","au_59356")</f>
        <v>au_59356</v>
      </c>
      <c r="B163">
        <v>0</v>
      </c>
      <c r="C163">
        <v>0</v>
      </c>
      <c r="D163">
        <v>0.16666666666666671</v>
      </c>
      <c r="E163">
        <v>0.25</v>
      </c>
      <c r="F163">
        <v>0.16666666666666671</v>
      </c>
      <c r="G163">
        <v>0.25</v>
      </c>
    </row>
    <row r="164" spans="1:7" x14ac:dyDescent="0.15">
      <c r="A164" t="str">
        <f>HYPERLINK("./new_k5/query_cmdrels_weight_analyze/0.3_0.2_0.5/au_609850.xlsx","au_609850")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HYPERLINK("./new_k5/query_cmdrels_weight_analyze/0.3_0.2_0.5/au_61408.xlsx","au_61408")</f>
        <v>au_61408</v>
      </c>
      <c r="B165">
        <v>0</v>
      </c>
      <c r="C165">
        <v>0.33333333333333331</v>
      </c>
      <c r="D165">
        <v>0.16666666666666671</v>
      </c>
      <c r="E165">
        <v>0.55555555555555547</v>
      </c>
      <c r="F165">
        <v>0.16666666666666671</v>
      </c>
      <c r="G165">
        <v>0.55555555555555547</v>
      </c>
    </row>
    <row r="166" spans="1:7" x14ac:dyDescent="0.15">
      <c r="A166" t="str">
        <f>HYPERLINK("./new_k5/query_cmdrels_weight_analyze/0.3_0.2_0.5/au_617850.xlsx","au_617850")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HYPERLINK("./new_k5/query_cmdrels_weight_analyze/0.3_0.2_0.5/au_62073.xlsx","au_62073")</f>
        <v>au_62073</v>
      </c>
      <c r="B167">
        <v>0</v>
      </c>
      <c r="C167">
        <v>0.2</v>
      </c>
      <c r="D167">
        <v>0.23333333333333331</v>
      </c>
      <c r="E167">
        <v>0.4</v>
      </c>
      <c r="F167">
        <v>0.23333333333333331</v>
      </c>
      <c r="G167">
        <v>0.71</v>
      </c>
    </row>
    <row r="168" spans="1:7" x14ac:dyDescent="0.15">
      <c r="A168" t="str">
        <f>HYPERLINK("./new_k5/query_cmdrels_weight_analyze/0.3_0.2_0.5/au_620930.xlsx","au_620930")</f>
        <v>au_620930</v>
      </c>
      <c r="B168">
        <v>0.2</v>
      </c>
      <c r="C168">
        <v>0.2</v>
      </c>
      <c r="D168">
        <v>0.4</v>
      </c>
      <c r="E168">
        <v>0.4</v>
      </c>
      <c r="F168">
        <v>0.4</v>
      </c>
      <c r="G168">
        <v>0.55000000000000004</v>
      </c>
    </row>
    <row r="169" spans="1:7" x14ac:dyDescent="0.15">
      <c r="A169" t="str">
        <f>HYPERLINK("./new_k5/query_cmdrels_weight_analyze/0.3_0.2_0.5/au_62492.xlsx","au_62492")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HYPERLINK("./new_k5/query_cmdrels_weight_analyze/0.3_0.2_0.5/au_626078.xlsx","au_626078")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HYPERLINK("./new_k5/query_cmdrels_weight_analyze/0.3_0.2_0.5/au_636944.xlsx","au_636944")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HYPERLINK("./new_k5/query_cmdrels_weight_analyze/0.3_0.2_0.5/au_648603.xlsx","au_648603")</f>
        <v>au_648603</v>
      </c>
      <c r="B172">
        <v>0.25</v>
      </c>
      <c r="C172">
        <v>0.25</v>
      </c>
      <c r="D172">
        <v>0.25</v>
      </c>
      <c r="E172">
        <v>0.41666666666666657</v>
      </c>
      <c r="F172">
        <v>0.25</v>
      </c>
      <c r="G172">
        <v>0.56666666666666665</v>
      </c>
    </row>
    <row r="173" spans="1:7" x14ac:dyDescent="0.15">
      <c r="A173" t="str">
        <f>HYPERLINK("./new_k5/query_cmdrels_weight_analyze/0.3_0.2_0.5/au_65331.xlsx","au_65331")</f>
        <v>au_65331</v>
      </c>
      <c r="B173">
        <v>0</v>
      </c>
      <c r="C173">
        <v>0</v>
      </c>
      <c r="D173">
        <v>8.3333333333333329E-2</v>
      </c>
      <c r="E173">
        <v>0.19444444444444439</v>
      </c>
      <c r="F173">
        <v>0.16666666666666671</v>
      </c>
      <c r="G173">
        <v>0.31944444444444442</v>
      </c>
    </row>
    <row r="174" spans="1:7" x14ac:dyDescent="0.15">
      <c r="A174" t="str">
        <f>HYPERLINK("./new_k5/query_cmdrels_weight_analyze/0.3_0.2_0.5/au_66000.xlsx","au_66000")</f>
        <v>au_66000</v>
      </c>
      <c r="B174">
        <v>0</v>
      </c>
      <c r="C174">
        <v>0.2</v>
      </c>
      <c r="D174">
        <v>0</v>
      </c>
      <c r="E174">
        <v>0.33333333333333331</v>
      </c>
      <c r="F174">
        <v>0</v>
      </c>
      <c r="G174">
        <v>0.48333333333333328</v>
      </c>
    </row>
    <row r="175" spans="1:7" x14ac:dyDescent="0.15">
      <c r="A175" t="str">
        <f>HYPERLINK("./new_k5/query_cmdrels_weight_analyze/0.3_0.2_0.5/au_660846.xlsx","au_660846")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HYPERLINK("./new_k5/query_cmdrels_weight_analyze/0.3_0.2_0.5/au_662935.xlsx","au_662935")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0.25</v>
      </c>
    </row>
    <row r="177" spans="1:7" x14ac:dyDescent="0.15">
      <c r="A177" t="str">
        <f>HYPERLINK("./new_k5/query_cmdrels_weight_analyze/0.3_0.2_0.5/au_67663.xlsx","au_67663")</f>
        <v>au_67663</v>
      </c>
      <c r="B177">
        <v>0</v>
      </c>
      <c r="C177">
        <v>0.25</v>
      </c>
      <c r="D177">
        <v>0.29166666666666657</v>
      </c>
      <c r="E177">
        <v>0.75</v>
      </c>
      <c r="F177">
        <v>0.29166666666666657</v>
      </c>
      <c r="G177">
        <v>0.75</v>
      </c>
    </row>
    <row r="178" spans="1:7" x14ac:dyDescent="0.15">
      <c r="A178" t="str">
        <f>HYPERLINK("./new_k5/query_cmdrels_weight_analyze/0.3_0.2_0.5/au_68028.xlsx","au_68028")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0.2857142857142857</v>
      </c>
      <c r="F178">
        <v>0.37142857142857139</v>
      </c>
      <c r="G178">
        <v>0.2857142857142857</v>
      </c>
    </row>
    <row r="179" spans="1:7" x14ac:dyDescent="0.15">
      <c r="A179" t="str">
        <f>HYPERLINK("./new_k5/query_cmdrels_weight_analyze/0.3_0.2_0.5/au_681312.xlsx","au_681312")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0.42857142857142849</v>
      </c>
      <c r="F179">
        <v>0.42857142857142849</v>
      </c>
      <c r="G179">
        <v>0.5714285714285714</v>
      </c>
    </row>
    <row r="180" spans="1:7" x14ac:dyDescent="0.15">
      <c r="A180" t="str">
        <f>HYPERLINK("./new_k5/query_cmdrels_weight_analyze/0.3_0.2_0.5/au_686239.xlsx","au_686239")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HYPERLINK("./new_k5/query_cmdrels_weight_analyze/0.3_0.2_0.5/au_68809.xlsx","au_68809")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0.20833333333333329</v>
      </c>
    </row>
    <row r="182" spans="1:7" x14ac:dyDescent="0.15">
      <c r="A182" t="str">
        <f>HYPERLINK("./new_k5/query_cmdrels_weight_analyze/0.3_0.2_0.5/au_69556.xlsx","au_69556")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HYPERLINK("./new_k5/query_cmdrels_weight_analyze/0.3_0.2_0.5/au_698993.xlsx","au_698993")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HYPERLINK("./new_k5/query_cmdrels_weight_analyze/0.3_0.2_0.5/au_707881.xlsx","au_707881")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HYPERLINK("./new_k5/query_cmdrels_weight_analyze/0.3_0.2_0.5/au_709594.xlsx","au_709594")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HYPERLINK("./new_k5/query_cmdrels_weight_analyze/0.3_0.2_0.5/au_71309.xlsx","au_71309")</f>
        <v>au_71309</v>
      </c>
      <c r="B186">
        <v>0.125</v>
      </c>
      <c r="C186">
        <v>0</v>
      </c>
      <c r="D186">
        <v>0.20833333333333329</v>
      </c>
      <c r="E186">
        <v>0.14583333333333329</v>
      </c>
      <c r="F186">
        <v>0.20833333333333329</v>
      </c>
      <c r="G186">
        <v>0.23958333333333329</v>
      </c>
    </row>
    <row r="187" spans="1:7" x14ac:dyDescent="0.15">
      <c r="A187" t="str">
        <f>HYPERLINK("./new_k5/query_cmdrels_weight_analyze/0.3_0.2_0.5/au_7138.xlsx","au_7138")</f>
        <v>au_7138</v>
      </c>
      <c r="B187">
        <v>0.25</v>
      </c>
      <c r="C187">
        <v>0</v>
      </c>
      <c r="D187">
        <v>0.75</v>
      </c>
      <c r="E187">
        <v>8.3333333333333329E-2</v>
      </c>
      <c r="F187">
        <v>0.75</v>
      </c>
      <c r="G187">
        <v>0.20833333333333329</v>
      </c>
    </row>
    <row r="188" spans="1:7" x14ac:dyDescent="0.15">
      <c r="A188" t="str">
        <f>HYPERLINK("./new_k5/query_cmdrels_weight_analyze/0.3_0.2_0.5/au_72549.xlsx","au_72549")</f>
        <v>au_72549</v>
      </c>
      <c r="B188">
        <v>0</v>
      </c>
      <c r="C188">
        <v>0</v>
      </c>
      <c r="D188">
        <v>0</v>
      </c>
      <c r="E188">
        <v>8.3333333333333329E-2</v>
      </c>
      <c r="F188">
        <v>0</v>
      </c>
      <c r="G188">
        <v>8.3333333333333329E-2</v>
      </c>
    </row>
    <row r="189" spans="1:7" x14ac:dyDescent="0.15">
      <c r="A189" t="str">
        <f>HYPERLINK("./new_k5/query_cmdrels_weight_analyze/0.3_0.2_0.5/au_740805.xlsx","au_740805")</f>
        <v>au_740805</v>
      </c>
      <c r="B189">
        <v>0.25</v>
      </c>
      <c r="C189">
        <v>0</v>
      </c>
      <c r="D189">
        <v>0.41666666666666657</v>
      </c>
      <c r="E189">
        <v>0.29166666666666657</v>
      </c>
      <c r="F189">
        <v>0.41666666666666657</v>
      </c>
      <c r="G189">
        <v>0.29166666666666657</v>
      </c>
    </row>
    <row r="190" spans="1:7" x14ac:dyDescent="0.15">
      <c r="A190" t="str">
        <f>HYPERLINK("./new_k5/query_cmdrels_weight_analyze/0.3_0.2_0.5/au_760796.xlsx","au_760796")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0.4</v>
      </c>
    </row>
    <row r="191" spans="1:7" x14ac:dyDescent="0.15">
      <c r="A191" t="str">
        <f>HYPERLINK("./new_k5/query_cmdrels_weight_analyze/0.3_0.2_0.5/au_762846.xlsx","au_762846")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0.43333333333333329</v>
      </c>
    </row>
    <row r="192" spans="1:7" x14ac:dyDescent="0.15">
      <c r="A192" t="str">
        <f>HYPERLINK("./new_k5/query_cmdrels_weight_analyze/0.3_0.2_0.5/au_767786.xlsx","au_767786")</f>
        <v>au_767786</v>
      </c>
      <c r="B192">
        <v>0.2</v>
      </c>
      <c r="C192">
        <v>0.2</v>
      </c>
      <c r="D192">
        <v>0.4</v>
      </c>
      <c r="E192">
        <v>0.4</v>
      </c>
      <c r="F192">
        <v>0.4</v>
      </c>
      <c r="G192">
        <v>0.4</v>
      </c>
    </row>
    <row r="193" spans="1:7" x14ac:dyDescent="0.15">
      <c r="A193" t="str">
        <f>HYPERLINK("./new_k5/query_cmdrels_weight_analyze/0.3_0.2_0.5/au_778906.xlsx","au_778906")</f>
        <v>au_778906</v>
      </c>
      <c r="B193">
        <v>0.2</v>
      </c>
      <c r="C193">
        <v>0.2</v>
      </c>
      <c r="D193">
        <v>0.33333333333333331</v>
      </c>
      <c r="E193">
        <v>0.33333333333333331</v>
      </c>
      <c r="F193">
        <v>0.33333333333333331</v>
      </c>
      <c r="G193">
        <v>0.48333333333333328</v>
      </c>
    </row>
    <row r="194" spans="1:7" x14ac:dyDescent="0.15">
      <c r="A194" t="str">
        <f>HYPERLINK("./new_k5/query_cmdrels_weight_analyze/0.3_0.2_0.5/au_818929.xlsx","au_818929")</f>
        <v>au_818929</v>
      </c>
      <c r="B194">
        <v>0</v>
      </c>
      <c r="C194">
        <v>0.2</v>
      </c>
      <c r="D194">
        <v>0</v>
      </c>
      <c r="E194">
        <v>0.4</v>
      </c>
      <c r="F194">
        <v>0</v>
      </c>
      <c r="G194">
        <v>0.55000000000000004</v>
      </c>
    </row>
    <row r="195" spans="1:7" x14ac:dyDescent="0.15">
      <c r="A195" t="str">
        <f>HYPERLINK("./new_k5/query_cmdrels_weight_analyze/0.3_0.2_0.5/au_844876.xlsx","au_844876")</f>
        <v>au_844876</v>
      </c>
      <c r="B195">
        <v>0.5</v>
      </c>
      <c r="C195">
        <v>0.5</v>
      </c>
      <c r="D195">
        <v>0.5</v>
      </c>
      <c r="E195">
        <v>1</v>
      </c>
      <c r="F195">
        <v>0.5</v>
      </c>
      <c r="G195">
        <v>1</v>
      </c>
    </row>
    <row r="196" spans="1:7" x14ac:dyDescent="0.15">
      <c r="A196" t="str">
        <f>HYPERLINK("./new_k5/query_cmdrels_weight_analyze/0.3_0.2_0.5/au_85318.xlsx","au_85318")</f>
        <v>au_85318</v>
      </c>
      <c r="B196">
        <v>0.2</v>
      </c>
      <c r="C196">
        <v>0.2</v>
      </c>
      <c r="D196">
        <v>0.6</v>
      </c>
      <c r="E196">
        <v>0.6</v>
      </c>
      <c r="F196">
        <v>0.6</v>
      </c>
      <c r="G196">
        <v>0.6</v>
      </c>
    </row>
    <row r="197" spans="1:7" x14ac:dyDescent="0.15">
      <c r="A197" t="str">
        <f>HYPERLINK("./new_k5/query_cmdrels_weight_analyze/0.3_0.2_0.5/au_854332.xlsx","au_854332")</f>
        <v>au_854332</v>
      </c>
      <c r="B197">
        <v>0.33333333333333331</v>
      </c>
      <c r="C197">
        <v>0</v>
      </c>
      <c r="D197">
        <v>0.55555555555555547</v>
      </c>
      <c r="E197">
        <v>0.16666666666666671</v>
      </c>
      <c r="F197">
        <v>0.55555555555555547</v>
      </c>
      <c r="G197">
        <v>0.16666666666666671</v>
      </c>
    </row>
    <row r="198" spans="1:7" x14ac:dyDescent="0.15">
      <c r="A198" t="str">
        <f>HYPERLINK("./new_k5/query_cmdrels_weight_analyze/0.3_0.2_0.5/au_854373.xlsx","au_854373")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HYPERLINK("./new_k5/query_cmdrels_weight_analyze/0.3_0.2_0.5/au_86843.xlsx","au_86843")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HYPERLINK("./new_k5/query_cmdrels_weight_analyze/0.3_0.2_0.5/au_88108.xlsx","au_88108")</f>
        <v>au_88108</v>
      </c>
      <c r="B200">
        <v>0</v>
      </c>
      <c r="C200">
        <v>0</v>
      </c>
      <c r="D200">
        <v>0.1</v>
      </c>
      <c r="E200">
        <v>0.1</v>
      </c>
      <c r="F200">
        <v>0.1</v>
      </c>
      <c r="G200">
        <v>0.18</v>
      </c>
    </row>
    <row r="201" spans="1:7" x14ac:dyDescent="0.15">
      <c r="A201" t="str">
        <f>HYPERLINK("./new_k5/query_cmdrels_weight_analyze/0.3_0.2_0.5/au_90214.xlsx","au_90214")</f>
        <v>au_90214</v>
      </c>
      <c r="B201">
        <v>0</v>
      </c>
      <c r="C201">
        <v>0</v>
      </c>
      <c r="D201">
        <v>0.16666666666666671</v>
      </c>
      <c r="E201">
        <v>0.1111111111111111</v>
      </c>
      <c r="F201">
        <v>0.16666666666666671</v>
      </c>
      <c r="G201">
        <v>0.1111111111111111</v>
      </c>
    </row>
    <row r="202" spans="1:7" x14ac:dyDescent="0.15">
      <c r="A202" t="str">
        <f>HYPERLINK("./new_k5/query_cmdrels_weight_analyze/0.3_0.2_0.5/au_90339.xlsx","au_90339")</f>
        <v>au_90339</v>
      </c>
      <c r="B202">
        <v>0</v>
      </c>
      <c r="C202">
        <v>0</v>
      </c>
      <c r="D202">
        <v>4.7619047619047623E-2</v>
      </c>
      <c r="E202">
        <v>0.16666666666666671</v>
      </c>
      <c r="F202">
        <v>0.2047619047619047</v>
      </c>
      <c r="G202">
        <v>0.16666666666666671</v>
      </c>
    </row>
    <row r="203" spans="1:7" x14ac:dyDescent="0.15">
      <c r="A203" t="str">
        <f>HYPERLINK("./new_k5/query_cmdrels_weight_analyze/0.3_0.2_0.5/au_91286.xlsx","au_91286")</f>
        <v>au_91286</v>
      </c>
      <c r="B203">
        <v>0.5</v>
      </c>
      <c r="C203">
        <v>0</v>
      </c>
      <c r="D203">
        <v>0.5</v>
      </c>
      <c r="E203">
        <v>0</v>
      </c>
      <c r="F203">
        <v>0.5</v>
      </c>
      <c r="G203">
        <v>0.125</v>
      </c>
    </row>
    <row r="204" spans="1:7" x14ac:dyDescent="0.15">
      <c r="A204" t="str">
        <f>HYPERLINK("./new_k5/query_cmdrels_weight_analyze/0.3_0.2_0.5/au_9135.xlsx","au_9135")</f>
        <v>au_9135</v>
      </c>
      <c r="B204">
        <v>0.1</v>
      </c>
      <c r="C204">
        <v>0</v>
      </c>
      <c r="D204">
        <v>0.16666666666666671</v>
      </c>
      <c r="E204">
        <v>0.1166666666666667</v>
      </c>
      <c r="F204">
        <v>0.24166666666666661</v>
      </c>
      <c r="G204">
        <v>0.19166666666666671</v>
      </c>
    </row>
    <row r="205" spans="1:7" x14ac:dyDescent="0.15">
      <c r="A205" t="str">
        <f>HYPERLINK("./new_k5/query_cmdrels_weight_analyze/0.3_0.2_0.5/au_935569.xlsx","au_935569")</f>
        <v>au_935569</v>
      </c>
      <c r="B205">
        <v>0.14285714285714279</v>
      </c>
      <c r="C205">
        <v>0.14285714285714279</v>
      </c>
      <c r="D205">
        <v>0.42857142857142849</v>
      </c>
      <c r="E205">
        <v>0.2857142857142857</v>
      </c>
      <c r="F205">
        <v>0.54285714285714282</v>
      </c>
      <c r="G205">
        <v>0.2857142857142857</v>
      </c>
    </row>
    <row r="206" spans="1:7" x14ac:dyDescent="0.15">
      <c r="A206" t="str">
        <f>HYPERLINK("./new_k5/query_cmdrels_weight_analyze/0.3_0.2_0.5/au_97936.xlsx","au_97936")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HYPERLINK("./new_k5/query_cmdrels_weight_analyze/0.3_0.2_0.5/so_10235778.xlsx","so_10235778")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HYPERLINK("./new_k5/query_cmdrels_weight_analyze/0.3_0.2_0.5/so_1045910.xlsx","so_1045910")</f>
        <v>so_1045910</v>
      </c>
      <c r="B208">
        <v>0.25</v>
      </c>
      <c r="C208">
        <v>0.25</v>
      </c>
      <c r="D208">
        <v>0.25</v>
      </c>
      <c r="E208">
        <v>0.5</v>
      </c>
      <c r="F208">
        <v>0.25</v>
      </c>
      <c r="G208">
        <v>0.5</v>
      </c>
    </row>
    <row r="209" spans="1:7" x14ac:dyDescent="0.15">
      <c r="A209" t="str">
        <f>HYPERLINK("./new_k5/query_cmdrels_weight_analyze/0.3_0.2_0.5/so_10557360.xlsx","so_10557360")</f>
        <v>so_10557360</v>
      </c>
      <c r="B209">
        <v>0</v>
      </c>
      <c r="C209">
        <v>0</v>
      </c>
      <c r="D209">
        <v>0</v>
      </c>
      <c r="E209">
        <v>6.6666666666666666E-2</v>
      </c>
      <c r="F209">
        <v>0</v>
      </c>
      <c r="G209">
        <v>6.6666666666666666E-2</v>
      </c>
    </row>
    <row r="210" spans="1:7" x14ac:dyDescent="0.15">
      <c r="A210" t="str">
        <f>HYPERLINK("./new_k5/query_cmdrels_weight_analyze/0.3_0.2_0.5/so_1058047.xlsx","so_1058047")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0.35</v>
      </c>
    </row>
    <row r="211" spans="1:7" x14ac:dyDescent="0.15">
      <c r="A211" t="str">
        <f>HYPERLINK("./new_k5/query_cmdrels_weight_analyze/0.3_0.2_0.5/so_10829402.xlsx","so_10829402")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HYPERLINK("./new_k5/query_cmdrels_weight_analyze/0.3_0.2_0.5/so_1088098.xlsx","so_1088098")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0.25</v>
      </c>
    </row>
    <row r="213" spans="1:7" x14ac:dyDescent="0.15">
      <c r="A213" t="str">
        <f>HYPERLINK("./new_k5/query_cmdrels_weight_analyze/0.3_0.2_0.5/so_10990949.xlsx","so_10990949")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0.5</v>
      </c>
    </row>
    <row r="214" spans="1:7" x14ac:dyDescent="0.15">
      <c r="A214" t="str">
        <f>HYPERLINK("./new_k5/query_cmdrels_weight_analyze/0.3_0.2_0.5/so_11211705.xlsx","so_11211705")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HYPERLINK("./new_k5/query_cmdrels_weight_analyze/0.3_0.2_0.5/so_112932.xlsx","so_112932")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HYPERLINK("./new_k5/query_cmdrels_weight_analyze/0.3_0.2_0.5/so_11392189.xlsx","so_11392189")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8.3333333333333329E-2</v>
      </c>
    </row>
    <row r="217" spans="1:7" x14ac:dyDescent="0.15">
      <c r="A217" t="str">
        <f>HYPERLINK("./new_k5/query_cmdrels_weight_analyze/0.3_0.2_0.5/so_1183183.xlsx","so_1183183")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0.25</v>
      </c>
    </row>
    <row r="218" spans="1:7" x14ac:dyDescent="0.15">
      <c r="A218" t="str">
        <f>HYPERLINK("./new_k5/query_cmdrels_weight_analyze/0.3_0.2_0.5/so_1194882.xlsx","so_1194882")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HYPERLINK("./new_k5/query_cmdrels_weight_analyze/0.3_0.2_0.5/so_12120935.xlsx","so_12120935")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HYPERLINK("./new_k5/query_cmdrels_weight_analyze/0.3_0.2_0.5/so_12313384.xlsx","so_12313384")</f>
        <v>so_12313384</v>
      </c>
      <c r="B220">
        <v>0</v>
      </c>
      <c r="C220">
        <v>0</v>
      </c>
      <c r="D220">
        <v>0.16666666666666671</v>
      </c>
      <c r="E220">
        <v>0.16666666666666671</v>
      </c>
      <c r="F220">
        <v>0.16666666666666671</v>
      </c>
      <c r="G220">
        <v>0.33333333333333331</v>
      </c>
    </row>
    <row r="221" spans="1:7" x14ac:dyDescent="0.15">
      <c r="A221" t="str">
        <f>HYPERLINK("./new_k5/query_cmdrels_weight_analyze/0.3_0.2_0.5/so_12392598.xlsx","so_12392598")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HYPERLINK("./new_k5/query_cmdrels_weight_analyze/0.3_0.2_0.5/so_1241801.xlsx","so_1241801")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HYPERLINK("./new_k5/query_cmdrels_weight_analyze/0.3_0.2_0.5/so_12522269.xlsx","so_12522269")</f>
        <v>so_12522269</v>
      </c>
      <c r="B223">
        <v>0.2</v>
      </c>
      <c r="C223">
        <v>0</v>
      </c>
      <c r="D223">
        <v>0.2</v>
      </c>
      <c r="E223">
        <v>0.1</v>
      </c>
      <c r="F223">
        <v>0.28000000000000003</v>
      </c>
      <c r="G223">
        <v>0.1</v>
      </c>
    </row>
    <row r="224" spans="1:7" x14ac:dyDescent="0.15">
      <c r="A224" t="str">
        <f>HYPERLINK("./new_k5/query_cmdrels_weight_analyze/0.3_0.2_0.5/so_1293907.xlsx","so_1293907")</f>
        <v>so_1293907</v>
      </c>
      <c r="B224">
        <v>0</v>
      </c>
      <c r="C224">
        <v>0.33333333333333331</v>
      </c>
      <c r="D224">
        <v>0</v>
      </c>
      <c r="E224">
        <v>0.55555555555555547</v>
      </c>
      <c r="F224">
        <v>8.3333333333333329E-2</v>
      </c>
      <c r="G224">
        <v>0.80555555555555547</v>
      </c>
    </row>
    <row r="225" spans="1:7" x14ac:dyDescent="0.15">
      <c r="A225" t="str">
        <f>HYPERLINK("./new_k5/query_cmdrels_weight_analyze/0.3_0.2_0.5/so_13428910.xlsx","so_13428910")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HYPERLINK("./new_k5/query_cmdrels_weight_analyze/0.3_0.2_0.5/so_135688.xlsx","so_135688")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HYPERLINK("./new_k5/query_cmdrels_weight_analyze/0.3_0.2_0.5/so_13778273.xlsx","so_13778273")</f>
        <v>so_13778273</v>
      </c>
      <c r="B227">
        <v>0.25</v>
      </c>
      <c r="C227">
        <v>0.25</v>
      </c>
      <c r="D227">
        <v>0.25</v>
      </c>
      <c r="E227">
        <v>0.25</v>
      </c>
      <c r="F227">
        <v>0.25</v>
      </c>
      <c r="G227">
        <v>0.375</v>
      </c>
    </row>
    <row r="228" spans="1:7" x14ac:dyDescent="0.15">
      <c r="A228" t="str">
        <f>HYPERLINK("./new_k5/query_cmdrels_weight_analyze/0.3_0.2_0.5/so_1405611.xlsx","so_1405611")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</v>
      </c>
      <c r="F228">
        <v>0.33333333333333331</v>
      </c>
      <c r="G228">
        <v>6.6666666666666666E-2</v>
      </c>
    </row>
    <row r="229" spans="1:7" x14ac:dyDescent="0.15">
      <c r="A229" t="str">
        <f>HYPERLINK("./new_k5/query_cmdrels_weight_analyze/0.3_0.2_0.5/so_14300794.xlsx","so_14300794")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0.66666666666666663</v>
      </c>
    </row>
    <row r="230" spans="1:7" x14ac:dyDescent="0.15">
      <c r="A230" t="str">
        <f>HYPERLINK("./new_k5/query_cmdrels_weight_analyze/0.3_0.2_0.5/so_143791.xlsx","so_143791")</f>
        <v>so_143791</v>
      </c>
      <c r="B230">
        <v>0.125</v>
      </c>
      <c r="C230">
        <v>0.125</v>
      </c>
      <c r="D230">
        <v>0.375</v>
      </c>
      <c r="E230">
        <v>0.375</v>
      </c>
      <c r="F230">
        <v>0.375</v>
      </c>
      <c r="G230">
        <v>0.5</v>
      </c>
    </row>
    <row r="231" spans="1:7" x14ac:dyDescent="0.15">
      <c r="A231" t="str">
        <f>HYPERLINK("./new_k5/query_cmdrels_weight_analyze/0.3_0.2_0.5/so_14750650.xlsx","so_14750650")</f>
        <v>so_14750650</v>
      </c>
      <c r="B231">
        <v>0</v>
      </c>
      <c r="C231">
        <v>0</v>
      </c>
      <c r="D231">
        <v>0</v>
      </c>
      <c r="E231">
        <v>8.3333333333333329E-2</v>
      </c>
      <c r="F231">
        <v>0</v>
      </c>
      <c r="G231">
        <v>8.3333333333333329E-2</v>
      </c>
    </row>
    <row r="232" spans="1:7" x14ac:dyDescent="0.15">
      <c r="A232" t="str">
        <f>HYPERLINK("./new_k5/query_cmdrels_weight_analyze/0.3_0.2_0.5/so_14978411.xlsx","so_14978411")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HYPERLINK("./new_k5/query_cmdrels_weight_analyze/0.3_0.2_0.5/so_15236308.xlsx","so_15236308")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HYPERLINK("./new_k5/query_cmdrels_weight_analyze/0.3_0.2_0.5/so_15286947.xlsx","so_15286947")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HYPERLINK("./new_k5/query_cmdrels_weight_analyze/0.3_0.2_0.5/so_15402770.xlsx","so_15402770")</f>
        <v>so_15402770</v>
      </c>
      <c r="B235">
        <v>0</v>
      </c>
      <c r="C235">
        <v>0</v>
      </c>
      <c r="D235">
        <v>0.19444444444444439</v>
      </c>
      <c r="E235">
        <v>0.19444444444444439</v>
      </c>
      <c r="F235">
        <v>0.19444444444444439</v>
      </c>
      <c r="G235">
        <v>0.31944444444444442</v>
      </c>
    </row>
    <row r="236" spans="1:7" x14ac:dyDescent="0.15">
      <c r="A236" t="str">
        <f>HYPERLINK("./new_k5/query_cmdrels_weight_analyze/0.3_0.2_0.5/so_1570262.xlsx","so_1570262")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0.13</v>
      </c>
    </row>
    <row r="237" spans="1:7" x14ac:dyDescent="0.15">
      <c r="A237" t="str">
        <f>HYPERLINK("./new_k5/query_cmdrels_weight_analyze/0.3_0.2_0.5/so_1583219.xlsx","so_1583219")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HYPERLINK("./new_k5/query_cmdrels_weight_analyze/0.3_0.2_0.5/so_15872543.xlsx","so_15872543")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HYPERLINK("./new_k5/query_cmdrels_weight_analyze/0.3_0.2_0.5/so_16038087.xlsx","so_16038087")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0.5714285714285714</v>
      </c>
    </row>
    <row r="240" spans="1:7" x14ac:dyDescent="0.15">
      <c r="A240" t="str">
        <f>HYPERLINK("./new_k5/query_cmdrels_weight_analyze/0.3_0.2_0.5/so_16212656.xlsx","so_16212656")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0.38</v>
      </c>
    </row>
    <row r="241" spans="1:7" x14ac:dyDescent="0.15">
      <c r="A241" t="str">
        <f>HYPERLINK("./new_k5/query_cmdrels_weight_analyze/0.3_0.2_0.5/so_16575419.xlsx","so_16575419")</f>
        <v>so_16575419</v>
      </c>
      <c r="B241">
        <v>0.25</v>
      </c>
      <c r="C241">
        <v>0.25</v>
      </c>
      <c r="D241">
        <v>0.25</v>
      </c>
      <c r="E241">
        <v>0.5</v>
      </c>
      <c r="F241">
        <v>0.25</v>
      </c>
      <c r="G241">
        <v>0.5</v>
      </c>
    </row>
    <row r="242" spans="1:7" x14ac:dyDescent="0.15">
      <c r="A242" t="str">
        <f>HYPERLINK("./new_k5/query_cmdrels_weight_analyze/0.3_0.2_0.5/so_17582768.xlsx","so_17582768")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6.6666666666666666E-2</v>
      </c>
    </row>
    <row r="243" spans="1:7" x14ac:dyDescent="0.15">
      <c r="A243" t="str">
        <f>HYPERLINK("./new_k5/query_cmdrels_weight_analyze/0.3_0.2_0.5/so_17607612.xlsx","so_17607612")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HYPERLINK("./new_k5/query_cmdrels_weight_analyze/0.3_0.2_0.5/so_17829785.xlsx","so_17829785")</f>
        <v>so_17829785</v>
      </c>
      <c r="B244">
        <v>0.25</v>
      </c>
      <c r="C244">
        <v>0</v>
      </c>
      <c r="D244">
        <v>0.25</v>
      </c>
      <c r="E244">
        <v>0.29166666666666657</v>
      </c>
      <c r="F244">
        <v>0.25</v>
      </c>
      <c r="G244">
        <v>0.29166666666666657</v>
      </c>
    </row>
    <row r="245" spans="1:7" x14ac:dyDescent="0.15">
      <c r="A245" t="str">
        <f>HYPERLINK("./new_k5/query_cmdrels_weight_analyze/0.3_0.2_0.5/so_1839841.xlsx","so_1839841")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HYPERLINK("./new_k5/query_cmdrels_weight_analyze/0.3_0.2_0.5/so_18468716.xlsx","so_18468716")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0.33333333333333331</v>
      </c>
    </row>
    <row r="247" spans="1:7" x14ac:dyDescent="0.15">
      <c r="A247" t="str">
        <f>HYPERLINK("./new_k5/query_cmdrels_weight_analyze/0.3_0.2_0.5/so_19196105.xlsx","so_19196105")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HYPERLINK("./new_k5/query_cmdrels_weight_analyze/0.3_0.2_0.5/so_19482123.xlsx","so_19482123")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HYPERLINK("./new_k5/query_cmdrels_weight_analyze/0.3_0.2_0.5/so_1975849.xlsx","so_1975849")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HYPERLINK("./new_k5/query_cmdrels_weight_analyze/0.3_0.2_0.5/so_212528.xlsx","so_212528")</f>
        <v>so_212528</v>
      </c>
      <c r="B250">
        <v>0</v>
      </c>
      <c r="C250">
        <v>0.16666666666666671</v>
      </c>
      <c r="D250">
        <v>0.19444444444444439</v>
      </c>
      <c r="E250">
        <v>0.5</v>
      </c>
      <c r="F250">
        <v>0.19444444444444439</v>
      </c>
      <c r="G250">
        <v>0.5</v>
      </c>
    </row>
    <row r="251" spans="1:7" x14ac:dyDescent="0.15">
      <c r="A251" t="str">
        <f>HYPERLINK("./new_k5/query_cmdrels_weight_analyze/0.3_0.2_0.5/so_21620406.xlsx","so_21620406")</f>
        <v>so_21620406</v>
      </c>
      <c r="B251">
        <v>0</v>
      </c>
      <c r="C251">
        <v>0</v>
      </c>
      <c r="D251">
        <v>0.1111111111111111</v>
      </c>
      <c r="E251">
        <v>0.1111111111111111</v>
      </c>
      <c r="F251">
        <v>0.1111111111111111</v>
      </c>
      <c r="G251">
        <v>0.1111111111111111</v>
      </c>
    </row>
    <row r="252" spans="1:7" x14ac:dyDescent="0.15">
      <c r="A252" t="str">
        <f>HYPERLINK("./new_k5/query_cmdrels_weight_analyze/0.3_0.2_0.5/so_23509348.xlsx","so_23509348")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HYPERLINK("./new_k5/query_cmdrels_weight_analyze/0.3_0.2_0.5/so_24058544.xlsx","so_24058544")</f>
        <v>so_24058544</v>
      </c>
      <c r="B253">
        <v>0.2</v>
      </c>
      <c r="C253">
        <v>0</v>
      </c>
      <c r="D253">
        <v>0.2</v>
      </c>
      <c r="E253">
        <v>0.1</v>
      </c>
      <c r="F253">
        <v>0.2</v>
      </c>
      <c r="G253">
        <v>0.1</v>
      </c>
    </row>
    <row r="254" spans="1:7" x14ac:dyDescent="0.15">
      <c r="A254" t="str">
        <f>HYPERLINK("./new_k5/query_cmdrels_weight_analyze/0.3_0.2_0.5/so_24283097.xlsx","so_24283097")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HYPERLINK("./new_k5/query_cmdrels_weight_analyze/0.3_0.2_0.5/so_26256279.xlsx","so_26256279")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HYPERLINK("./new_k5/query_cmdrels_weight_analyze/0.3_0.2_0.5/so_26331651.xlsx","so_26331651")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HYPERLINK("./new_k5/query_cmdrels_weight_analyze/0.3_0.2_0.5/so_26988262.xlsx","so_26988262")</f>
        <v>so_26988262</v>
      </c>
      <c r="B257">
        <v>0</v>
      </c>
      <c r="C257">
        <v>0</v>
      </c>
      <c r="D257">
        <v>0.16666666666666671</v>
      </c>
      <c r="E257">
        <v>0.16666666666666671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HYPERLINK("./new_k5/query_cmdrels_weight_analyze/0.3_0.2_0.5/so_27238411.xlsx","so_27238411")</f>
        <v>so_27238411</v>
      </c>
      <c r="B258">
        <v>0.2</v>
      </c>
      <c r="C258">
        <v>0.2</v>
      </c>
      <c r="D258">
        <v>0.6</v>
      </c>
      <c r="E258">
        <v>0.6</v>
      </c>
      <c r="F258">
        <v>0.6</v>
      </c>
      <c r="G258">
        <v>0.6</v>
      </c>
    </row>
    <row r="259" spans="1:7" x14ac:dyDescent="0.15">
      <c r="A259" t="str">
        <f>HYPERLINK("./new_k5/query_cmdrels_weight_analyze/0.3_0.2_0.5/so_27943059.xlsx","so_27943059")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0.55555555555555547</v>
      </c>
      <c r="F259">
        <v>0.16666666666666671</v>
      </c>
      <c r="G259">
        <v>0.55555555555555547</v>
      </c>
    </row>
    <row r="260" spans="1:7" x14ac:dyDescent="0.15">
      <c r="A260" t="str">
        <f>HYPERLINK("./new_k5/query_cmdrels_weight_analyze/0.3_0.2_0.5/so_28869004.xlsx","so_28869004")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HYPERLINK("./new_k5/query_cmdrels_weight_analyze/0.3_0.2_0.5/so_2973624.xlsx","so_2973624")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0.55555555555555547</v>
      </c>
      <c r="F261">
        <v>0.66666666666666663</v>
      </c>
      <c r="G261">
        <v>0.80555555555555547</v>
      </c>
    </row>
    <row r="262" spans="1:7" x14ac:dyDescent="0.15">
      <c r="A262" t="str">
        <f>HYPERLINK("./new_k5/query_cmdrels_weight_analyze/0.3_0.2_0.5/so_30177455.xlsx","so_30177455")</f>
        <v>so_30177455</v>
      </c>
      <c r="B262">
        <v>0</v>
      </c>
      <c r="C262">
        <v>0</v>
      </c>
      <c r="D262">
        <v>0.16666666666666671</v>
      </c>
      <c r="E262">
        <v>0.1111111111111111</v>
      </c>
      <c r="F262">
        <v>0.16666666666666671</v>
      </c>
      <c r="G262">
        <v>0.1111111111111111</v>
      </c>
    </row>
    <row r="263" spans="1:7" x14ac:dyDescent="0.15">
      <c r="A263" t="str">
        <f>HYPERLINK("./new_k5/query_cmdrels_weight_analyze/0.3_0.2_0.5/so_30251889.xlsx","so_30251889")</f>
        <v>so_30251889</v>
      </c>
      <c r="B263">
        <v>0</v>
      </c>
      <c r="C263">
        <v>0.25</v>
      </c>
      <c r="D263">
        <v>0.125</v>
      </c>
      <c r="E263">
        <v>0.75</v>
      </c>
      <c r="F263">
        <v>0.22500000000000001</v>
      </c>
      <c r="G263">
        <v>0.95</v>
      </c>
    </row>
    <row r="264" spans="1:7" x14ac:dyDescent="0.15">
      <c r="A264" t="str">
        <f>HYPERLINK("./new_k5/query_cmdrels_weight_analyze/0.3_0.2_0.5/so_305035.xlsx","so_305035")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HYPERLINK("./new_k5/query_cmdrels_weight_analyze/0.3_0.2_0.5/so_36249744.xlsx","so_36249744")</f>
        <v>so_36249744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</row>
    <row r="266" spans="1:7" x14ac:dyDescent="0.15">
      <c r="A266" t="str">
        <f>HYPERLINK("./new_k5/query_cmdrels_weight_analyze/0.3_0.2_0.5/so_3643848.xlsx","so_3643848")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HYPERLINK("./new_k5/query_cmdrels_weight_analyze/0.3_0.2_0.5/so_3667329.xlsx","so_3667329")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0.55555555555555547</v>
      </c>
      <c r="F267">
        <v>0.33333333333333331</v>
      </c>
      <c r="G267">
        <v>0.55555555555555547</v>
      </c>
    </row>
    <row r="268" spans="1:7" x14ac:dyDescent="0.15">
      <c r="A268" t="str">
        <f>HYPERLINK("./new_k5/query_cmdrels_weight_analyze/0.3_0.2_0.5/so_369758.xlsx","so_369758")</f>
        <v>so_369758</v>
      </c>
      <c r="B268">
        <v>0.2</v>
      </c>
      <c r="C268">
        <v>0.2</v>
      </c>
      <c r="D268">
        <v>0.4</v>
      </c>
      <c r="E268">
        <v>0.4</v>
      </c>
      <c r="F268">
        <v>0.4</v>
      </c>
      <c r="G268">
        <v>0.55000000000000004</v>
      </c>
    </row>
    <row r="269" spans="1:7" x14ac:dyDescent="0.15">
      <c r="A269" t="str">
        <f>HYPERLINK("./new_k5/query_cmdrels_weight_analyze/0.3_0.2_0.5/so_3756323.xlsx","so_3756323")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</v>
      </c>
    </row>
    <row r="270" spans="1:7" x14ac:dyDescent="0.15">
      <c r="A270" t="str">
        <f>HYPERLINK("./new_k5/query_cmdrels_weight_analyze/0.3_0.2_0.5/so_3767267.xlsx","so_3767267")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HYPERLINK("./new_k5/query_cmdrels_weight_analyze/0.3_0.2_0.5/so_3833578.xlsx","so_3833578")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HYPERLINK("./new_k5/query_cmdrels_weight_analyze/0.3_0.2_0.5/so_3891076.xlsx","so_3891076")</f>
        <v>so_3891076</v>
      </c>
      <c r="B272">
        <v>0.25</v>
      </c>
      <c r="C272">
        <v>0</v>
      </c>
      <c r="D272">
        <v>0.25</v>
      </c>
      <c r="E272">
        <v>0.125</v>
      </c>
      <c r="F272">
        <v>0.25</v>
      </c>
      <c r="G272">
        <v>0.4</v>
      </c>
    </row>
    <row r="273" spans="1:7" x14ac:dyDescent="0.15">
      <c r="A273" t="str">
        <f>HYPERLINK("./new_k5/query_cmdrels_weight_analyze/0.3_0.2_0.5/so_3963085.xlsx","so_3963085")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HYPERLINK("./new_k5/query_cmdrels_weight_analyze/0.3_0.2_0.5/so_4325216.xlsx","so_4325216")</f>
        <v>so_4325216</v>
      </c>
      <c r="B274">
        <v>0.5</v>
      </c>
      <c r="C274">
        <v>0.5</v>
      </c>
      <c r="D274">
        <v>0.5</v>
      </c>
      <c r="E274">
        <v>0.83333333333333326</v>
      </c>
      <c r="F274">
        <v>0.5</v>
      </c>
      <c r="G274">
        <v>0.83333333333333326</v>
      </c>
    </row>
    <row r="275" spans="1:7" x14ac:dyDescent="0.15">
      <c r="A275" t="str">
        <f>HYPERLINK("./new_k5/query_cmdrels_weight_analyze/0.3_0.2_0.5/so_448005.xlsx","so_448005")</f>
        <v>so_448005</v>
      </c>
      <c r="B275">
        <v>1</v>
      </c>
      <c r="C275">
        <v>0</v>
      </c>
      <c r="D275">
        <v>1</v>
      </c>
      <c r="E275">
        <v>0.5</v>
      </c>
      <c r="F275">
        <v>1</v>
      </c>
      <c r="G275">
        <v>0.5</v>
      </c>
    </row>
    <row r="276" spans="1:7" x14ac:dyDescent="0.15">
      <c r="A276" t="str">
        <f>HYPERLINK("./new_k5/query_cmdrels_weight_analyze/0.3_0.2_0.5/so_4921879.xlsx","so_4921879")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HYPERLINK("./new_k5/query_cmdrels_weight_analyze/0.3_0.2_0.5/so_4922943.xlsx","so_4922943")</f>
        <v>so_4922943</v>
      </c>
      <c r="B277">
        <v>0.2</v>
      </c>
      <c r="C277">
        <v>0</v>
      </c>
      <c r="D277">
        <v>0.33333333333333331</v>
      </c>
      <c r="E277">
        <v>0.1</v>
      </c>
      <c r="F277">
        <v>0.33333333333333331</v>
      </c>
      <c r="G277">
        <v>0.2</v>
      </c>
    </row>
    <row r="278" spans="1:7" x14ac:dyDescent="0.15">
      <c r="A278" t="str">
        <f>HYPERLINK("./new_k5/query_cmdrels_weight_analyze/0.3_0.2_0.5/so_5119946.xlsx","so_5119946")</f>
        <v>so_5119946</v>
      </c>
      <c r="B278">
        <v>0.5</v>
      </c>
      <c r="C278">
        <v>0</v>
      </c>
      <c r="D278">
        <v>0.5</v>
      </c>
      <c r="E278">
        <v>0.16666666666666671</v>
      </c>
      <c r="F278">
        <v>0.5</v>
      </c>
      <c r="G278">
        <v>0.41666666666666657</v>
      </c>
    </row>
    <row r="279" spans="1:7" x14ac:dyDescent="0.15">
      <c r="A279" t="str">
        <f>HYPERLINK("./new_k5/query_cmdrels_weight_analyze/0.3_0.2_0.5/so_5164985.xlsx","so_5164985")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0.3</v>
      </c>
    </row>
    <row r="280" spans="1:7" x14ac:dyDescent="0.15">
      <c r="A280" t="str">
        <f>HYPERLINK("./new_k5/query_cmdrels_weight_analyze/0.3_0.2_0.5/so_5306153.xlsx","so_5306153")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HYPERLINK("./new_k5/query_cmdrels_weight_analyze/0.3_0.2_0.5/so_5566310.xlsx","so_5566310")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HYPERLINK("./new_k5/query_cmdrels_weight_analyze/0.3_0.2_0.5/so_5927369.xlsx","so_5927369")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HYPERLINK("./new_k5/query_cmdrels_weight_analyze/0.3_0.2_0.5/so_5947742.xlsx","so_5947742")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HYPERLINK("./new_k5/query_cmdrels_weight_analyze/0.3_0.2_0.5/so_614795.xlsx","so_614795")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HYPERLINK("./new_k5/query_cmdrels_weight_analyze/0.3_0.2_0.5/so_6207573.xlsx","so_6207573")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0.42857142857142849</v>
      </c>
      <c r="F285">
        <v>0.37142857142857139</v>
      </c>
      <c r="G285">
        <v>0.54285714285714282</v>
      </c>
    </row>
    <row r="286" spans="1:7" x14ac:dyDescent="0.15">
      <c r="A286" t="str">
        <f>HYPERLINK("./new_k5/query_cmdrels_weight_analyze/0.3_0.2_0.5/so_6283167.xlsx","so_6283167")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HYPERLINK("./new_k5/query_cmdrels_weight_analyze/0.3_0.2_0.5/so_6329505.xlsx","so_6329505")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HYPERLINK("./new_k5/query_cmdrels_weight_analyze/0.3_0.2_0.5/so_6423532.xlsx","so_6423532")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HYPERLINK("./new_k5/query_cmdrels_weight_analyze/0.3_0.2_0.5/so_669438.xlsx","so_669438")</f>
        <v>so_669438</v>
      </c>
      <c r="B289">
        <v>0.2</v>
      </c>
      <c r="C289">
        <v>0.2</v>
      </c>
      <c r="D289">
        <v>0.6</v>
      </c>
      <c r="E289">
        <v>0.4</v>
      </c>
      <c r="F289">
        <v>0.6</v>
      </c>
      <c r="G289">
        <v>0.71</v>
      </c>
    </row>
    <row r="290" spans="1:7" x14ac:dyDescent="0.15">
      <c r="A290" t="str">
        <f>HYPERLINK("./new_k5/query_cmdrels_weight_analyze/0.3_0.2_0.5/so_7052875.xlsx","so_7052875")</f>
        <v>so_7052875</v>
      </c>
      <c r="B290">
        <v>0.2</v>
      </c>
      <c r="C290">
        <v>0.2</v>
      </c>
      <c r="D290">
        <v>0.2</v>
      </c>
      <c r="E290">
        <v>0.2</v>
      </c>
      <c r="F290">
        <v>0.2</v>
      </c>
      <c r="G290">
        <v>0.3</v>
      </c>
    </row>
    <row r="291" spans="1:7" x14ac:dyDescent="0.15">
      <c r="A291" t="str">
        <f>HYPERLINK("./new_k5/query_cmdrels_weight_analyze/0.3_0.2_0.5/so_7221757.xlsx","so_7221757")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HYPERLINK("./new_k5/query_cmdrels_weight_analyze/0.3_0.2_0.5/so_750604.xlsx","so_750604")</f>
        <v>so_750604</v>
      </c>
      <c r="B292">
        <v>0</v>
      </c>
      <c r="C292">
        <v>0</v>
      </c>
      <c r="D292">
        <v>0.1111111111111111</v>
      </c>
      <c r="E292">
        <v>0.16666666666666671</v>
      </c>
      <c r="F292">
        <v>0.1111111111111111</v>
      </c>
      <c r="G292">
        <v>0.33333333333333331</v>
      </c>
    </row>
    <row r="293" spans="1:7" x14ac:dyDescent="0.15">
      <c r="A293" t="str">
        <f>HYPERLINK("./new_k5/query_cmdrels_weight_analyze/0.3_0.2_0.5/so_7575267.xlsx","so_7575267")</f>
        <v>so_7575267</v>
      </c>
      <c r="B293">
        <v>0</v>
      </c>
      <c r="C293">
        <v>0.25</v>
      </c>
      <c r="D293">
        <v>0</v>
      </c>
      <c r="E293">
        <v>0.5</v>
      </c>
      <c r="F293">
        <v>0</v>
      </c>
      <c r="G293">
        <v>0.5</v>
      </c>
    </row>
    <row r="294" spans="1:7" x14ac:dyDescent="0.15">
      <c r="A294" t="str">
        <f>HYPERLINK("./new_k5/query_cmdrels_weight_analyze/0.3_0.2_0.5/so_7698488.xlsx","so_7698488")</f>
        <v>so_7698488</v>
      </c>
      <c r="B294">
        <v>0</v>
      </c>
      <c r="C294">
        <v>0</v>
      </c>
      <c r="D294">
        <v>0</v>
      </c>
      <c r="E294">
        <v>8.3333333333333329E-2</v>
      </c>
      <c r="F294">
        <v>0</v>
      </c>
      <c r="G294">
        <v>0.18333333333333329</v>
      </c>
    </row>
    <row r="295" spans="1:7" x14ac:dyDescent="0.15">
      <c r="A295" t="str">
        <f>HYPERLINK("./new_k5/query_cmdrels_weight_analyze/0.3_0.2_0.5/so_801095.xlsx","so_801095")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0.33333333333333331</v>
      </c>
      <c r="F295">
        <v>0.33333333333333331</v>
      </c>
      <c r="G295">
        <v>0.5</v>
      </c>
    </row>
    <row r="296" spans="1:7" x14ac:dyDescent="0.15">
      <c r="A296" t="str">
        <f>HYPERLINK("./new_k5/query_cmdrels_weight_analyze/0.3_0.2_0.5/so_8249705.xlsx","so_8249705")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HYPERLINK("./new_k5/query_cmdrels_weight_analyze/0.3_0.2_0.5/so_8423541.xlsx","so_8423541")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HYPERLINK("./new_k5/query_cmdrels_weight_analyze/0.3_0.2_0.5/so_8654051.xlsx","so_8654051")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HYPERLINK("./new_k5/query_cmdrels_weight_analyze/0.3_0.2_0.5/so_890262.xlsx","so_890262")</f>
        <v>so_890262</v>
      </c>
      <c r="B299">
        <v>0</v>
      </c>
      <c r="C299">
        <v>0</v>
      </c>
      <c r="D299">
        <v>0</v>
      </c>
      <c r="E299">
        <v>0.38888888888888878</v>
      </c>
      <c r="F299">
        <v>0</v>
      </c>
      <c r="G299">
        <v>0.38888888888888878</v>
      </c>
    </row>
    <row r="300" spans="1:7" x14ac:dyDescent="0.15">
      <c r="A300" t="str">
        <f>HYPERLINK("./new_k5/query_cmdrels_weight_analyze/0.3_0.2_0.5/so_893585.xlsx","so_893585")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HYPERLINK("./new_k5/query_cmdrels_weight_analyze/0.3_0.2_0.5/so_9223460.xlsx","so_9223460")</f>
        <v>so_9223460</v>
      </c>
      <c r="B301">
        <v>0.33333333333333331</v>
      </c>
      <c r="C301">
        <v>0.33333333333333331</v>
      </c>
      <c r="D301">
        <v>0.33333333333333331</v>
      </c>
      <c r="E301">
        <v>0.33333333333333331</v>
      </c>
      <c r="F301">
        <v>0.33333333333333331</v>
      </c>
      <c r="G301">
        <v>0.46666666666666662</v>
      </c>
    </row>
    <row r="302" spans="1:7" x14ac:dyDescent="0.15">
      <c r="A302" t="str">
        <f>HYPERLINK("./new_k5/query_cmdrels_weight_analyze/0.3_0.2_0.5/so_9245638.xlsx","so_9245638")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0.55555555555555547</v>
      </c>
      <c r="F302">
        <v>0.55555555555555547</v>
      </c>
      <c r="G302">
        <v>0.55555555555555547</v>
      </c>
    </row>
    <row r="303" spans="1:7" x14ac:dyDescent="0.15">
      <c r="A303" t="str">
        <f>HYPERLINK("./new_k5/query_cmdrels_weight_analyze/0.3_0.2_0.5/so_9304953.xlsx","so_9304953")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HYPERLINK("./new_k5/query_cmdrels_weight_analyze/0.3_0.2_0.5/so_9361816.xlsx","so_9361816")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HYPERLINK("./new_k5/query_cmdrels_weight_analyze/0.3_0.2_0.5/su_116617.xlsx","su_116617")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HYPERLINK("./new_k5/query_cmdrels_weight_analyze/0.3_0.2_0.5/su_120045.xlsx","su_120045")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HYPERLINK("./new_k5/query_cmdrels_weight_analyze/0.3_0.2_0.5/su_127863.xlsx","su_127863")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HYPERLINK("./new_k5/query_cmdrels_weight_analyze/0.3_0.2_0.5/su_135498.xlsx","su_135498")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HYPERLINK("./new_k5/query_cmdrels_weight_analyze/0.3_0.2_0.5/su_147027.xlsx","su_147027")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HYPERLINK("./new_k5/query_cmdrels_weight_analyze/0.3_0.2_0.5/su_151911.xlsx","su_151911")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15">
      <c r="A311" t="str">
        <f>HYPERLINK("./new_k5/query_cmdrels_weight_analyze/0.3_0.2_0.5/su_153415.xlsx","su_153415")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HYPERLINK("./new_k5/query_cmdrels_weight_analyze/0.3_0.2_0.5/su_156189.xlsx","su_156189")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0.40277777777777768</v>
      </c>
    </row>
    <row r="313" spans="1:7" x14ac:dyDescent="0.15">
      <c r="A313" t="str">
        <f>HYPERLINK("./new_k5/query_cmdrels_weight_analyze/0.3_0.2_0.5/su_161531.xlsx","su_161531")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HYPERLINK("./new_k5/query_cmdrels_weight_analyze/0.3_0.2_0.5/su_204209.xlsx","su_204209")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HYPERLINK("./new_k5/query_cmdrels_weight_analyze/0.3_0.2_0.5/su_214390.xlsx","su_214390")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HYPERLINK("./new_k5/query_cmdrels_weight_analyze/0.3_0.2_0.5/su_215483.xlsx","su_215483")</f>
        <v>su_215483</v>
      </c>
      <c r="B316">
        <v>0.5</v>
      </c>
      <c r="C316">
        <v>0.5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HYPERLINK("./new_k5/query_cmdrels_weight_analyze/0.3_0.2_0.5/su_215504.xlsx","su_215504")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0.47916666666666657</v>
      </c>
    </row>
    <row r="318" spans="1:7" x14ac:dyDescent="0.15">
      <c r="A318" t="str">
        <f>HYPERLINK("./new_k5/query_cmdrels_weight_analyze/0.3_0.2_0.5/su_227385.xlsx","su_227385")</f>
        <v>su_227385</v>
      </c>
      <c r="B318">
        <v>0</v>
      </c>
      <c r="C318">
        <v>0</v>
      </c>
      <c r="D318">
        <v>0</v>
      </c>
      <c r="E318">
        <v>0.29166666666666657</v>
      </c>
      <c r="F318">
        <v>0</v>
      </c>
      <c r="G318">
        <v>0.6791666666666667</v>
      </c>
    </row>
    <row r="319" spans="1:7" x14ac:dyDescent="0.15">
      <c r="A319" t="str">
        <f>HYPERLINK("./new_k5/query_cmdrels_weight_analyze/0.3_0.2_0.5/su_273254.xlsx","su_273254")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HYPERLINK("./new_k5/query_cmdrels_weight_analyze/0.3_0.2_0.5/su_294161.xlsx","su_294161")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HYPERLINK("./new_k5/query_cmdrels_weight_analyze/0.3_0.2_0.5/su_302396.xlsx","su_302396")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HYPERLINK("./new_k5/query_cmdrels_weight_analyze/0.3_0.2_0.5/su_303981.xlsx","su_303981")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HYPERLINK("./new_k5/query_cmdrels_weight_analyze/0.3_0.2_0.5/su_305128.xlsx","su_305128")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HYPERLINK("./new_k5/query_cmdrels_weight_analyze/0.3_0.2_0.5/su_31512.xlsx","su_31512")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HYPERLINK("./new_k5/query_cmdrels_weight_analyze/0.3_0.2_0.5/su_380520.xlsx","su_380520")</f>
        <v>su_380520</v>
      </c>
      <c r="B325">
        <v>0.33333333333333331</v>
      </c>
      <c r="C325">
        <v>0.33333333333333331</v>
      </c>
      <c r="D325">
        <v>0.33333333333333331</v>
      </c>
      <c r="E325">
        <v>0.55555555555555547</v>
      </c>
      <c r="F325">
        <v>0.33333333333333331</v>
      </c>
      <c r="G325">
        <v>0.55555555555555547</v>
      </c>
    </row>
    <row r="326" spans="1:7" x14ac:dyDescent="0.15">
      <c r="A326" t="str">
        <f>HYPERLINK("./new_k5/query_cmdrels_weight_analyze/0.3_0.2_0.5/su_38981.xlsx","su_38981")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HYPERLINK("./new_k5/query_cmdrels_weight_analyze/0.3_0.2_0.5/su_437330.xlsx","su_437330")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HYPERLINK("./new_k5/query_cmdrels_weight_analyze/0.3_0.2_0.5/su_441379.xlsx","su_441379")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HYPERLINK("./new_k5/query_cmdrels_weight_analyze/0.3_0.2_0.5/su_462788.xlsx","su_462788")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0.22222222222222221</v>
      </c>
      <c r="F329">
        <v>0.30555555555555558</v>
      </c>
      <c r="G329">
        <v>0.30555555555555558</v>
      </c>
    </row>
    <row r="330" spans="1:7" x14ac:dyDescent="0.15">
      <c r="A330" t="str">
        <f>HYPERLINK("./new_k5/query_cmdrels_weight_analyze/0.3_0.2_0.5/su_626606.xlsx","su_626606")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0.66666666666666663</v>
      </c>
    </row>
    <row r="331" spans="1:7" x14ac:dyDescent="0.15">
      <c r="A331" t="str">
        <f>HYPERLINK("./new_k5/query_cmdrels_weight_analyze/0.3_0.2_0.5/su_634469.xlsx","su_634469")</f>
        <v>su_634469</v>
      </c>
      <c r="B331">
        <v>0</v>
      </c>
      <c r="C331">
        <v>0.16666666666666671</v>
      </c>
      <c r="D331">
        <v>0</v>
      </c>
      <c r="E331">
        <v>0.27777777777777768</v>
      </c>
      <c r="F331">
        <v>0</v>
      </c>
      <c r="G331">
        <v>0.40277777777777768</v>
      </c>
    </row>
    <row r="332" spans="1:7" x14ac:dyDescent="0.15">
      <c r="A332" t="str">
        <f>HYPERLINK("./new_k5/query_cmdrels_weight_analyze/0.3_0.2_0.5/su_638616.xlsx","su_638616")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HYPERLINK("./new_k5/query_cmdrels_weight_analyze/0.3_0.2_0.5/su_678113.xlsx","su_678113")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HYPERLINK("./new_k5/query_cmdrels_weight_analyze/0.3_0.2_0.5/su_686394.xlsx","su_686394")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HYPERLINK("./new_k5/query_cmdrels_weight_analyze/0.3_0.2_0.5/su_716795.xlsx","su_716795")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0.125</v>
      </c>
    </row>
    <row r="336" spans="1:7" x14ac:dyDescent="0.15">
      <c r="A336" t="str">
        <f>HYPERLINK("./new_k5/query_cmdrels_weight_analyze/0.3_0.2_0.5/su_758463.xlsx","su_758463")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HYPERLINK("./new_k5/query_cmdrels_weight_analyze/0.3_0.2_0.5/su_766437.xlsx","su_766437")</f>
        <v>su_766437</v>
      </c>
      <c r="B337">
        <v>0</v>
      </c>
      <c r="C337">
        <v>0</v>
      </c>
      <c r="D337">
        <v>0</v>
      </c>
      <c r="E337">
        <v>6.6666666666666666E-2</v>
      </c>
      <c r="F337">
        <v>0.05</v>
      </c>
      <c r="G337">
        <v>0.28666666666666663</v>
      </c>
    </row>
    <row r="338" spans="1:7" x14ac:dyDescent="0.15">
      <c r="A338" t="str">
        <f>HYPERLINK("./new_k5/query_cmdrels_weight_analyze/0.3_0.2_0.5/su_904001.xlsx","su_904001")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HYPERLINK("./new_k5/query_cmdrels_weight_analyze/0.3_0.2_0.5/ul_100959.xlsx","ul_100959")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HYPERLINK("./new_k5/query_cmdrels_weight_analyze/0.3_0.2_0.5/ul_101073.xlsx","ul_101073")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HYPERLINK("./new_k5/query_cmdrels_weight_analyze/0.3_0.2_0.5/ul_101237.xlsx","ul_101237")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HYPERLINK("./new_k5/query_cmdrels_weight_analyze/0.3_0.2_0.5/ul_102752.xlsx","ul_102752")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HYPERLINK("./new_k5/query_cmdrels_weight_analyze/0.3_0.2_0.5/ul_108174.xlsx","ul_108174")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HYPERLINK("./new_k5/query_cmdrels_weight_analyze/0.3_0.2_0.5/ul_109536.xlsx","ul_109536")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HYPERLINK("./new_k5/query_cmdrels_weight_analyze/0.3_0.2_0.5/ul_112050.xlsx","ul_112050")</f>
        <v>ul_112050</v>
      </c>
      <c r="B345">
        <v>0</v>
      </c>
      <c r="C345">
        <v>0.25</v>
      </c>
      <c r="D345">
        <v>0.125</v>
      </c>
      <c r="E345">
        <v>0.5</v>
      </c>
      <c r="F345">
        <v>0.125</v>
      </c>
      <c r="G345">
        <v>0.6875</v>
      </c>
    </row>
    <row r="346" spans="1:7" x14ac:dyDescent="0.15">
      <c r="A346" t="str">
        <f>HYPERLINK("./new_k5/query_cmdrels_weight_analyze/0.3_0.2_0.5/ul_116070.xlsx","ul_116070")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HYPERLINK("./new_k5/query_cmdrels_weight_analyze/0.3_0.2_0.5/ul_11851.xlsx","ul_11851")</f>
        <v>ul_11851</v>
      </c>
      <c r="B347">
        <v>0</v>
      </c>
      <c r="C347">
        <v>0.2</v>
      </c>
      <c r="D347">
        <v>0</v>
      </c>
      <c r="E347">
        <v>0.33333333333333331</v>
      </c>
      <c r="F347">
        <v>0</v>
      </c>
      <c r="G347">
        <v>0.64333333333333331</v>
      </c>
    </row>
    <row r="348" spans="1:7" x14ac:dyDescent="0.15">
      <c r="A348" t="str">
        <f>HYPERLINK("./new_k5/query_cmdrels_weight_analyze/0.3_0.2_0.5/ul_119126.xlsx","ul_119126")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HYPERLINK("./new_k5/query_cmdrels_weight_analyze/0.3_0.2_0.5/ul_121718.xlsx","ul_121718")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HYPERLINK("./new_k5/query_cmdrels_weight_analyze/0.3_0.2_0.5/ul_12227.xlsx","ul_12227")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HYPERLINK("./new_k5/query_cmdrels_weight_analyze/0.3_0.2_0.5/ul_12453.xlsx","ul_12453")</f>
        <v>ul_12453</v>
      </c>
      <c r="B351">
        <v>0</v>
      </c>
      <c r="C351">
        <v>0</v>
      </c>
      <c r="D351">
        <v>0.125</v>
      </c>
      <c r="E351">
        <v>0.29166666666666657</v>
      </c>
      <c r="F351">
        <v>0.125</v>
      </c>
      <c r="G351">
        <v>0.47916666666666657</v>
      </c>
    </row>
    <row r="352" spans="1:7" x14ac:dyDescent="0.15">
      <c r="A352" t="str">
        <f>HYPERLINK("./new_k5/query_cmdrels_weight_analyze/0.3_0.2_0.5/ul_12535.xlsx","ul_12535")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0.16666666666666671</v>
      </c>
    </row>
    <row r="353" spans="1:7" x14ac:dyDescent="0.15">
      <c r="A353" t="str">
        <f>HYPERLINK("./new_k5/query_cmdrels_weight_analyze/0.3_0.2_0.5/ul_127066.xlsx","ul_127066")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0.60416666666666663</v>
      </c>
    </row>
    <row r="354" spans="1:7" x14ac:dyDescent="0.15">
      <c r="A354" t="str">
        <f>HYPERLINK("./new_k5/query_cmdrels_weight_analyze/0.3_0.2_0.5/ul_128953.xlsx","ul_128953")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HYPERLINK("./new_k5/query_cmdrels_weight_analyze/0.3_0.2_0.5/ul_134829.xlsx","ul_134829")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0.5</v>
      </c>
    </row>
    <row r="356" spans="1:7" x14ac:dyDescent="0.15">
      <c r="A356" t="str">
        <f>HYPERLINK("./new_k5/query_cmdrels_weight_analyze/0.3_0.2_0.5/ul_136371.xlsx","ul_136371")</f>
        <v>ul_136371</v>
      </c>
      <c r="B356">
        <v>0</v>
      </c>
      <c r="C356">
        <v>0.33333333333333331</v>
      </c>
      <c r="D356">
        <v>0</v>
      </c>
      <c r="E356">
        <v>0.33333333333333331</v>
      </c>
      <c r="F356">
        <v>0</v>
      </c>
      <c r="G356">
        <v>0.46666666666666662</v>
      </c>
    </row>
    <row r="357" spans="1:7" x14ac:dyDescent="0.15">
      <c r="A357" t="str">
        <f>HYPERLINK("./new_k5/query_cmdrels_weight_analyze/0.3_0.2_0.5/ul_136884.xlsx","ul_136884")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HYPERLINK("./new_k5/query_cmdrels_weight_analyze/0.3_0.2_0.5/ul_138398.xlsx","ul_138398")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HYPERLINK("./new_k5/query_cmdrels_weight_analyze/0.3_0.2_0.5/ul_139271.xlsx","ul_139271")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0.33333333333333331</v>
      </c>
      <c r="F359">
        <v>0.33333333333333331</v>
      </c>
      <c r="G359">
        <v>0.43333333333333329</v>
      </c>
    </row>
    <row r="360" spans="1:7" x14ac:dyDescent="0.15">
      <c r="A360" t="str">
        <f>HYPERLINK("./new_k5/query_cmdrels_weight_analyze/0.3_0.2_0.5/ul_140482.xlsx","ul_140482")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HYPERLINK("./new_k5/query_cmdrels_weight_analyze/0.3_0.2_0.5/ul_14191.xlsx","ul_14191")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0.24444444444444449</v>
      </c>
    </row>
    <row r="362" spans="1:7" x14ac:dyDescent="0.15">
      <c r="A362" t="str">
        <f>HYPERLINK("./new_k5/query_cmdrels_weight_analyze/0.3_0.2_0.5/ul_145929.xlsx","ul_145929")</f>
        <v>ul_145929</v>
      </c>
      <c r="B362">
        <v>0</v>
      </c>
      <c r="C362">
        <v>0</v>
      </c>
      <c r="D362">
        <v>0.16666666666666671</v>
      </c>
      <c r="E362">
        <v>0.16666666666666671</v>
      </c>
      <c r="F362">
        <v>0.16666666666666671</v>
      </c>
      <c r="G362">
        <v>0.3666666666666667</v>
      </c>
    </row>
    <row r="363" spans="1:7" x14ac:dyDescent="0.15">
      <c r="A363" t="str">
        <f>HYPERLINK("./new_k5/query_cmdrels_weight_analyze/0.3_0.2_0.5/ul_148985.xlsx","ul_148985")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HYPERLINK("./new_k5/query_cmdrels_weight_analyze/0.3_0.2_0.5/ul_15405.xlsx","ul_15405")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HYPERLINK("./new_k5/query_cmdrels_weight_analyze/0.3_0.2_0.5/ul_155551.xlsx","ul_155551")</f>
        <v>ul_155551</v>
      </c>
      <c r="B365">
        <v>0</v>
      </c>
      <c r="C365">
        <v>0</v>
      </c>
      <c r="D365">
        <v>0</v>
      </c>
      <c r="E365">
        <v>0.25</v>
      </c>
      <c r="F365">
        <v>0</v>
      </c>
      <c r="G365">
        <v>0.5</v>
      </c>
    </row>
    <row r="366" spans="1:7" x14ac:dyDescent="0.15">
      <c r="A366" t="str">
        <f>HYPERLINK("./new_k5/query_cmdrels_weight_analyze/0.3_0.2_0.5/ul_159672.xlsx","ul_159672")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HYPERLINK("./new_k5/query_cmdrels_weight_analyze/0.3_0.2_0.5/ul_163845.xlsx","ul_163845")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HYPERLINK("./new_k5/query_cmdrels_weight_analyze/0.3_0.2_0.5/ul_16407.xlsx","ul_16407")</f>
        <v>ul_16407</v>
      </c>
      <c r="B368">
        <v>0.5</v>
      </c>
      <c r="C368">
        <v>0.5</v>
      </c>
      <c r="D368">
        <v>0.5</v>
      </c>
      <c r="E368">
        <v>0.5</v>
      </c>
      <c r="F368">
        <v>0.75</v>
      </c>
      <c r="G368">
        <v>0.5</v>
      </c>
    </row>
    <row r="369" spans="1:7" x14ac:dyDescent="0.15">
      <c r="A369" t="str">
        <f>HYPERLINK("./new_k5/query_cmdrels_weight_analyze/0.3_0.2_0.5/ul_166558.xlsx","ul_166558")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HYPERLINK("./new_k5/query_cmdrels_weight_analyze/0.3_0.2_0.5/ul_171314.xlsx","ul_171314")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0.35</v>
      </c>
    </row>
    <row r="371" spans="1:7" x14ac:dyDescent="0.15">
      <c r="A371" t="str">
        <f>HYPERLINK("./new_k5/query_cmdrels_weight_analyze/0.3_0.2_0.5/ul_182032.xlsx","ul_182032")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HYPERLINK("./new_k5/query_cmdrels_weight_analyze/0.3_0.2_0.5/ul_19344.xlsx","ul_19344")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HYPERLINK("./new_k5/query_cmdrels_weight_analyze/0.3_0.2_0.5/ul_19369.xlsx","ul_19369")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HYPERLINK("./new_k5/query_cmdrels_weight_analyze/0.3_0.2_0.5/ul_19485.xlsx","ul_19485")</f>
        <v>ul_19485</v>
      </c>
      <c r="B374">
        <v>0</v>
      </c>
      <c r="C374">
        <v>0</v>
      </c>
      <c r="D374">
        <v>0</v>
      </c>
      <c r="E374">
        <v>0.33333333333333331</v>
      </c>
      <c r="F374">
        <v>0</v>
      </c>
      <c r="G374">
        <v>0.33333333333333331</v>
      </c>
    </row>
    <row r="375" spans="1:7" x14ac:dyDescent="0.15">
      <c r="A375" t="str">
        <f>HYPERLINK("./new_k5/query_cmdrels_weight_analyze/0.3_0.2_0.5/ul_20370.xlsx","ul_20370")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0.125</v>
      </c>
    </row>
    <row r="376" spans="1:7" x14ac:dyDescent="0.15">
      <c r="A376" t="str">
        <f>HYPERLINK("./new_k5/query_cmdrels_weight_analyze/0.3_0.2_0.5/ul_211817.xlsx","ul_211817")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HYPERLINK("./new_k5/query_cmdrels_weight_analyze/0.3_0.2_0.5/ul_212925.xlsx","ul_212925")</f>
        <v>ul_212925</v>
      </c>
      <c r="B377">
        <v>0</v>
      </c>
      <c r="C377">
        <v>0</v>
      </c>
      <c r="D377">
        <v>0</v>
      </c>
      <c r="E377">
        <v>0.5</v>
      </c>
      <c r="F377">
        <v>0</v>
      </c>
      <c r="G377">
        <v>0.5</v>
      </c>
    </row>
    <row r="378" spans="1:7" x14ac:dyDescent="0.15">
      <c r="A378" t="str">
        <f>HYPERLINK("./new_k5/query_cmdrels_weight_analyze/0.3_0.2_0.5/ul_21471.xlsx","ul_21471")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HYPERLINK("./new_k5/query_cmdrels_weight_analyze/0.3_0.2_0.5/ul_22545.xlsx","ul_22545")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HYPERLINK("./new_k5/query_cmdrels_weight_analyze/0.3_0.2_0.5/ul_230481.xlsx","ul_230481")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HYPERLINK("./new_k5/query_cmdrels_weight_analyze/0.3_0.2_0.5/ul_230673.xlsx","ul_230673")</f>
        <v>ul_230673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0.125</v>
      </c>
    </row>
    <row r="382" spans="1:7" x14ac:dyDescent="0.15">
      <c r="A382" t="str">
        <f>HYPERLINK("./new_k5/query_cmdrels_weight_analyze/0.3_0.2_0.5/ul_230800.xlsx","ul_230800")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HYPERLINK("./new_k5/query_cmdrels_weight_analyze/0.3_0.2_0.5/ul_232384.xlsx","ul_232384")</f>
        <v>ul_232384</v>
      </c>
      <c r="B383">
        <v>0</v>
      </c>
      <c r="C383">
        <v>0.5</v>
      </c>
      <c r="D383">
        <v>0</v>
      </c>
      <c r="E383">
        <v>0.83333333333333326</v>
      </c>
      <c r="F383">
        <v>0</v>
      </c>
      <c r="G383">
        <v>0.83333333333333326</v>
      </c>
    </row>
    <row r="384" spans="1:7" x14ac:dyDescent="0.15">
      <c r="A384" t="str">
        <f>HYPERLINK("./new_k5/query_cmdrels_weight_analyze/0.3_0.2_0.5/ul_24441.xlsx","ul_24441")</f>
        <v>ul_24441</v>
      </c>
      <c r="B384">
        <v>0</v>
      </c>
      <c r="C384">
        <v>0</v>
      </c>
      <c r="D384">
        <v>0</v>
      </c>
      <c r="E384">
        <v>0.25</v>
      </c>
      <c r="F384">
        <v>0</v>
      </c>
      <c r="G384">
        <v>0.25</v>
      </c>
    </row>
    <row r="385" spans="1:7" x14ac:dyDescent="0.15">
      <c r="A385" t="str">
        <f>HYPERLINK("./new_k5/query_cmdrels_weight_analyze/0.3_0.2_0.5/ul_246535.xlsx","ul_246535")</f>
        <v>ul_246535</v>
      </c>
      <c r="B385">
        <v>0.2</v>
      </c>
      <c r="C385">
        <v>0.2</v>
      </c>
      <c r="D385">
        <v>0.2</v>
      </c>
      <c r="E385">
        <v>0.2</v>
      </c>
      <c r="F385">
        <v>0.2</v>
      </c>
      <c r="G385">
        <v>0.42</v>
      </c>
    </row>
    <row r="386" spans="1:7" x14ac:dyDescent="0.15">
      <c r="A386" t="str">
        <f>HYPERLINK("./new_k5/query_cmdrels_weight_analyze/0.3_0.2_0.5/ul_259791.xlsx","ul_259791")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HYPERLINK("./new_k5/query_cmdrels_weight_analyze/0.3_0.2_0.5/ul_273971.xlsx","ul_273971")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0.33333333333333331</v>
      </c>
      <c r="F387">
        <v>0.43333333333333329</v>
      </c>
      <c r="G387">
        <v>0.43333333333333329</v>
      </c>
    </row>
    <row r="388" spans="1:7" x14ac:dyDescent="0.15">
      <c r="A388" t="str">
        <f>HYPERLINK("./new_k5/query_cmdrels_weight_analyze/0.3_0.2_0.5/ul_28553.xlsx","ul_28553")</f>
        <v>ul_28553</v>
      </c>
      <c r="B388">
        <v>0.25</v>
      </c>
      <c r="C388">
        <v>0</v>
      </c>
      <c r="D388">
        <v>0.5</v>
      </c>
      <c r="E388">
        <v>8.3333333333333329E-2</v>
      </c>
      <c r="F388">
        <v>0.5</v>
      </c>
      <c r="G388">
        <v>8.3333333333333329E-2</v>
      </c>
    </row>
    <row r="389" spans="1:7" x14ac:dyDescent="0.15">
      <c r="A389" t="str">
        <f>HYPERLINK("./new_k5/query_cmdrels_weight_analyze/0.3_0.2_0.5/ul_288521.xlsx","ul_288521")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HYPERLINK("./new_k5/query_cmdrels_weight_analyze/0.3_0.2_0.5/ul_32290.xlsx","ul_32290")</f>
        <v>ul_32290</v>
      </c>
      <c r="B390">
        <v>0</v>
      </c>
      <c r="C390">
        <v>0</v>
      </c>
      <c r="D390">
        <v>0</v>
      </c>
      <c r="E390">
        <v>8.3333333333333329E-2</v>
      </c>
      <c r="F390">
        <v>0</v>
      </c>
      <c r="G390">
        <v>8.3333333333333329E-2</v>
      </c>
    </row>
    <row r="391" spans="1:7" x14ac:dyDescent="0.15">
      <c r="A391" t="str">
        <f>HYPERLINK("./new_k5/query_cmdrels_weight_analyze/0.3_0.2_0.5/ul_328882.xlsx","ul_328882")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HYPERLINK("./new_k5/query_cmdrels_weight_analyze/0.3_0.2_0.5/ul_35131.xlsx","ul_35131")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0.8666666666666667</v>
      </c>
    </row>
    <row r="393" spans="1:7" x14ac:dyDescent="0.15">
      <c r="A393" t="str">
        <f>HYPERLINK("./new_k5/query_cmdrels_weight_analyze/0.3_0.2_0.5/ul_35333.xlsx","ul_35333")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HYPERLINK("./new_k5/query_cmdrels_weight_analyze/0.3_0.2_0.5/ul_35711.xlsx","ul_35711")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HYPERLINK("./new_k5/query_cmdrels_weight_analyze/0.3_0.2_0.5/ul_3575.xlsx","ul_3575")</f>
        <v>ul_3575</v>
      </c>
      <c r="B395">
        <v>0</v>
      </c>
      <c r="C395">
        <v>0.16666666666666671</v>
      </c>
      <c r="D395">
        <v>8.3333333333333329E-2</v>
      </c>
      <c r="E395">
        <v>0.16666666666666671</v>
      </c>
      <c r="F395">
        <v>8.3333333333333329E-2</v>
      </c>
      <c r="G395">
        <v>0.16666666666666671</v>
      </c>
    </row>
    <row r="396" spans="1:7" x14ac:dyDescent="0.15">
      <c r="A396" t="str">
        <f>HYPERLINK("./new_k5/query_cmdrels_weight_analyze/0.3_0.2_0.5/ul_35832.xlsx","ul_35832")</f>
        <v>ul_35832</v>
      </c>
      <c r="B396">
        <v>0.5</v>
      </c>
      <c r="C396">
        <v>0.5</v>
      </c>
      <c r="D396">
        <v>0.5</v>
      </c>
      <c r="E396">
        <v>1</v>
      </c>
      <c r="F396">
        <v>0.5</v>
      </c>
      <c r="G396">
        <v>1</v>
      </c>
    </row>
    <row r="397" spans="1:7" x14ac:dyDescent="0.15">
      <c r="A397" t="str">
        <f>HYPERLINK("./new_k5/query_cmdrels_weight_analyze/0.3_0.2_0.5/ul_370318.xlsx","ul_370318")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0.42857142857142849</v>
      </c>
      <c r="F397">
        <v>0.14285714285714279</v>
      </c>
      <c r="G397">
        <v>0.42857142857142849</v>
      </c>
    </row>
    <row r="398" spans="1:7" x14ac:dyDescent="0.15">
      <c r="A398" t="str">
        <f>HYPERLINK("./new_k5/query_cmdrels_weight_analyze/0.3_0.2_0.5/ul_37329.xlsx","ul_37329")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0.55555555555555547</v>
      </c>
      <c r="F398">
        <v>0.33333333333333331</v>
      </c>
      <c r="G398">
        <v>0.55555555555555547</v>
      </c>
    </row>
    <row r="399" spans="1:7" x14ac:dyDescent="0.15">
      <c r="A399" t="str">
        <f>HYPERLINK("./new_k5/query_cmdrels_weight_analyze/0.3_0.2_0.5/ul_38209.xlsx","ul_38209")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HYPERLINK("./new_k5/query_cmdrels_weight_analyze/0.3_0.2_0.5/ul_41246.xlsx","ul_41246")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HYPERLINK("./new_k5/query_cmdrels_weight_analyze/0.3_0.2_0.5/ul_41362.xlsx","ul_41362")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6.25E-2</v>
      </c>
    </row>
    <row r="402" spans="1:7" x14ac:dyDescent="0.15">
      <c r="A402" t="str">
        <f>HYPERLINK("./new_k5/query_cmdrels_weight_analyze/0.3_0.2_0.5/ul_48200.xlsx","ul_48200")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HYPERLINK("./new_k5/query_cmdrels_weight_analyze/0.3_0.2_0.5/ul_50098.xlsx","ul_50098")</f>
        <v>ul_50098</v>
      </c>
      <c r="B403">
        <v>0</v>
      </c>
      <c r="C403">
        <v>0.1</v>
      </c>
      <c r="D403">
        <v>0.1166666666666667</v>
      </c>
      <c r="E403">
        <v>0.16666666666666671</v>
      </c>
      <c r="F403">
        <v>0.1166666666666667</v>
      </c>
      <c r="G403">
        <v>0.24166666666666661</v>
      </c>
    </row>
    <row r="404" spans="1:7" x14ac:dyDescent="0.15">
      <c r="A404" t="str">
        <f>HYPERLINK("./new_k5/query_cmdrels_weight_analyze/0.3_0.2_0.5/ul_50785.xlsx","ul_50785")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HYPERLINK("./new_k5/query_cmdrels_weight_analyze/0.3_0.2_0.5/ul_5085.xlsx","ul_5085")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HYPERLINK("./new_k5/query_cmdrels_weight_analyze/0.3_0.2_0.5/ul_53737.xlsx","ul_53737")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HYPERLINK("./new_k5/query_cmdrels_weight_analyze/0.3_0.2_0.5/ul_55125.xlsx","ul_55125")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HYPERLINK("./new_k5/query_cmdrels_weight_analyze/0.3_0.2_0.5/ul_56453.xlsx","ul_56453")</f>
        <v>ul_56453</v>
      </c>
      <c r="B408">
        <v>0</v>
      </c>
      <c r="C408">
        <v>0</v>
      </c>
      <c r="D408">
        <v>8.3333333333333329E-2</v>
      </c>
      <c r="E408">
        <v>0.125</v>
      </c>
      <c r="F408">
        <v>8.3333333333333329E-2</v>
      </c>
      <c r="G408">
        <v>0.125</v>
      </c>
    </row>
    <row r="409" spans="1:7" x14ac:dyDescent="0.15">
      <c r="A409" t="str">
        <f>HYPERLINK("./new_k5/query_cmdrels_weight_analyze/0.3_0.2_0.5/ul_63648.xlsx","ul_63648")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HYPERLINK("./new_k5/query_cmdrels_weight_analyze/0.3_0.2_0.5/ul_6402.xlsx","ul_6402")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0.33333333333333331</v>
      </c>
    </row>
    <row r="411" spans="1:7" x14ac:dyDescent="0.15">
      <c r="A411" t="str">
        <f>HYPERLINK("./new_k5/query_cmdrels_weight_analyze/0.3_0.2_0.5/ul_65106.xlsx","ul_65106")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0.91666666666666663</v>
      </c>
    </row>
    <row r="412" spans="1:7" x14ac:dyDescent="0.15">
      <c r="A412" t="str">
        <f>HYPERLINK("./new_k5/query_cmdrels_weight_analyze/0.3_0.2_0.5/ul_65932.xlsx","ul_65932")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HYPERLINK("./new_k5/query_cmdrels_weight_analyze/0.3_0.2_0.5/ul_6596.xlsx","ul_6596")</f>
        <v>ul_6596</v>
      </c>
      <c r="B413">
        <v>0.2</v>
      </c>
      <c r="C413">
        <v>0.2</v>
      </c>
      <c r="D413">
        <v>0.6</v>
      </c>
      <c r="E413">
        <v>0.6</v>
      </c>
      <c r="F413">
        <v>0.6</v>
      </c>
      <c r="G413">
        <v>0.76</v>
      </c>
    </row>
    <row r="414" spans="1:7" x14ac:dyDescent="0.15">
      <c r="A414" t="str">
        <f>HYPERLINK("./new_k5/query_cmdrels_weight_analyze/0.3_0.2_0.5/ul_67503.xlsx","ul_67503")</f>
        <v>ul_67503</v>
      </c>
      <c r="B414">
        <v>0</v>
      </c>
      <c r="C414">
        <v>0.5</v>
      </c>
      <c r="D414">
        <v>0.25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HYPERLINK("./new_k5/query_cmdrels_weight_analyze/0.3_0.2_0.5/ul_67592.xlsx","ul_67592")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HYPERLINK("./new_k5/query_cmdrels_weight_analyze/0.3_0.2_0.5/ul_70581.xlsx","ul_70581")</f>
        <v>ul_70581</v>
      </c>
      <c r="B416">
        <v>0</v>
      </c>
      <c r="C416">
        <v>0</v>
      </c>
      <c r="D416">
        <v>0.1</v>
      </c>
      <c r="E416">
        <v>6.6666666666666666E-2</v>
      </c>
      <c r="F416">
        <v>0.1</v>
      </c>
      <c r="G416">
        <v>0.16666666666666671</v>
      </c>
    </row>
    <row r="417" spans="1:7" x14ac:dyDescent="0.15">
      <c r="A417" t="str">
        <f>HYPERLINK("./new_k5/query_cmdrels_weight_analyze/0.3_0.2_0.5/ul_70614.xlsx","ul_70614")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HYPERLINK("./new_k5/query_cmdrels_weight_analyze/0.3_0.2_0.5/ul_71465.xlsx","ul_71465")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HYPERLINK("./new_k5/query_cmdrels_weight_analyze/0.3_0.2_0.5/ul_7226.xlsx","ul_7226")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0.55555555555555547</v>
      </c>
      <c r="F419">
        <v>0.33333333333333331</v>
      </c>
      <c r="G419">
        <v>0.55555555555555547</v>
      </c>
    </row>
    <row r="420" spans="1:7" x14ac:dyDescent="0.15">
      <c r="A420" t="str">
        <f>HYPERLINK("./new_k5/query_cmdrels_weight_analyze/0.3_0.2_0.5/ul_78182.xlsx","ul_78182")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HYPERLINK("./new_k5/query_cmdrels_weight_analyze/0.3_0.2_0.5/ul_79678.xlsx","ul_79678")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HYPERLINK("./new_k5/query_cmdrels_weight_analyze/0.3_0.2_0.5/ul_79702.xlsx","ul_79702")</f>
        <v>ul_79702</v>
      </c>
      <c r="B422">
        <v>0</v>
      </c>
      <c r="C422">
        <v>0.33333333333333331</v>
      </c>
      <c r="D422">
        <v>0</v>
      </c>
      <c r="E422">
        <v>0.66666666666666663</v>
      </c>
      <c r="F422">
        <v>0</v>
      </c>
      <c r="G422">
        <v>0.8666666666666667</v>
      </c>
    </row>
    <row r="423" spans="1:7" x14ac:dyDescent="0.15">
      <c r="A423" t="str">
        <f>HYPERLINK("./new_k5/query_cmdrels_weight_analyze/0.3_0.2_0.5/ul_83593.xlsx","ul_83593")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HYPERLINK("./new_k5/query_cmdrels_weight_analyze/0.3_0.2_0.5/ul_84381.xlsx","ul_84381")</f>
        <v>ul_84381</v>
      </c>
      <c r="B424">
        <v>0</v>
      </c>
      <c r="C424">
        <v>0.33333333333333331</v>
      </c>
      <c r="D424">
        <v>0.16666666666666671</v>
      </c>
      <c r="E424">
        <v>0.33333333333333331</v>
      </c>
      <c r="F424">
        <v>0.16666666666666671</v>
      </c>
      <c r="G424">
        <v>0.33333333333333331</v>
      </c>
    </row>
    <row r="425" spans="1:7" x14ac:dyDescent="0.15">
      <c r="A425" t="str">
        <f>HYPERLINK("./new_k5/query_cmdrels_weight_analyze/0.3_0.2_0.5/ul_85180.xlsx","ul_85180")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0.27777777777777768</v>
      </c>
    </row>
    <row r="426" spans="1:7" x14ac:dyDescent="0.15">
      <c r="A426" t="str">
        <f>HYPERLINK("./new_k5/query_cmdrels_weight_analyze/0.3_0.2_0.5/ul_86071.xlsx","ul_86071")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HYPERLINK("./new_k5/query_cmdrels_weight_analyze/0.3_0.2_0.5/ul_86729.xlsx","ul_86729")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HYPERLINK("./new_k5/query_cmdrels_weight_analyze/0.3_0.2_0.5/ul_88824.xlsx","ul_88824")</f>
        <v>ul_88824</v>
      </c>
      <c r="B428">
        <v>0</v>
      </c>
      <c r="C428">
        <v>0.33333333333333331</v>
      </c>
      <c r="D428">
        <v>0</v>
      </c>
      <c r="E428">
        <v>0.55555555555555547</v>
      </c>
      <c r="F428">
        <v>0</v>
      </c>
      <c r="G428">
        <v>0.55555555555555547</v>
      </c>
    </row>
    <row r="429" spans="1:7" x14ac:dyDescent="0.15">
      <c r="A429" t="str">
        <f>HYPERLINK("./new_k5/query_cmdrels_weight_analyze/0.3_0.2_0.5/ul_8945.xlsx","ul_8945")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HYPERLINK("./new_k5/query_cmdrels_weight_analyze/0.3_0.2_0.5/ul_89933.xlsx","ul_89933")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HYPERLINK("./new_k5/query_cmdrels_weight_analyze/0.3_0.2_0.5/ul_91297.xlsx","ul_91297")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HYPERLINK("./new_k5/query_cmdrels_weight_analyze/0.3_0.2_0.5/ul_9252.xlsx","ul_9252")</f>
        <v>ul_9252</v>
      </c>
      <c r="B432">
        <v>0</v>
      </c>
      <c r="C432">
        <v>0</v>
      </c>
      <c r="D432">
        <v>0.23333333333333331</v>
      </c>
      <c r="E432">
        <v>0.1</v>
      </c>
      <c r="F432">
        <v>0.23333333333333331</v>
      </c>
      <c r="G432">
        <v>0.18</v>
      </c>
    </row>
    <row r="433" spans="1:7" x14ac:dyDescent="0.15">
      <c r="A433" t="str">
        <f>HYPERLINK("./new_k5/query_cmdrels_weight_analyze/0.3_0.2_0.5/ul_92560.xlsx","ul_92560")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0.75</v>
      </c>
    </row>
    <row r="434" spans="1:7" x14ac:dyDescent="0.15">
      <c r="A434" t="str">
        <f>HYPERLINK("./new_k5/query_cmdrels_weight_analyze/0.3_0.2_0.5/ul_92799.xlsx","ul_92799")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0.27777777777777768</v>
      </c>
      <c r="F434">
        <v>0.53611111111111109</v>
      </c>
      <c r="G434">
        <v>0.53611111111111109</v>
      </c>
    </row>
    <row r="435" spans="1:7" x14ac:dyDescent="0.15">
      <c r="A435" t="str">
        <f>HYPERLINK("./new_k5/query_cmdrels_weight_analyze/0.3_0.2_0.5/ul_93139.xlsx","ul_93139")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HYPERLINK("./new_k5/query_cmdrels_weight_analyze/0.3_0.2_0.5/ul_98461.xlsx","ul_98461")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HYPERLINK("./new_k5/query_cmdrels_weight_analyze/0.3_0.3_0.4/au_102733.xlsx","au_102733")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HYPERLINK("./new_k5/query_cmdrels_weight_analyze/0.3_0.3_0.4/au_1029436.xlsx","au_1029436")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HYPERLINK("./new_k5/query_cmdrels_weight_analyze/0.3_0.3_0.4/au_1029502.xlsx","au_1029502")</f>
        <v>au_1029502</v>
      </c>
      <c r="B5">
        <v>0.25</v>
      </c>
      <c r="C5">
        <v>0.25</v>
      </c>
      <c r="D5">
        <v>0.25</v>
      </c>
      <c r="E5">
        <v>0.25</v>
      </c>
      <c r="F5">
        <v>0.375</v>
      </c>
      <c r="G5">
        <v>0.25</v>
      </c>
    </row>
    <row r="6" spans="1:7" x14ac:dyDescent="0.15">
      <c r="A6" t="str">
        <f>HYPERLINK("./new_k5/query_cmdrels_weight_analyze/0.3_0.3_0.4/au_1029531.xlsx","au_1029531")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HYPERLINK("./new_k5/query_cmdrels_weight_analyze/0.3_0.3_0.4/au_104542.xlsx","au_104542")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HYPERLINK("./new_k5/query_cmdrels_weight_analyze/0.3_0.3_0.4/au_109070.xlsx","au_109070")</f>
        <v>au_109070</v>
      </c>
      <c r="B8">
        <v>0</v>
      </c>
      <c r="C8">
        <v>0</v>
      </c>
      <c r="D8">
        <v>0.23333333333333331</v>
      </c>
      <c r="E8">
        <v>0</v>
      </c>
      <c r="F8">
        <v>0.3833333333333333</v>
      </c>
      <c r="G8">
        <v>0.05</v>
      </c>
    </row>
    <row r="9" spans="1:7" x14ac:dyDescent="0.15">
      <c r="A9" t="str">
        <f>HYPERLINK("./new_k5/query_cmdrels_weight_analyze/0.3_0.3_0.4/au_109381.xlsx","au_109381")</f>
        <v>au_109381</v>
      </c>
      <c r="B9">
        <v>0</v>
      </c>
      <c r="C9">
        <v>0</v>
      </c>
      <c r="D9">
        <v>0.25</v>
      </c>
      <c r="E9">
        <v>0.25</v>
      </c>
      <c r="F9">
        <v>0.25</v>
      </c>
      <c r="G9">
        <v>0.25</v>
      </c>
    </row>
    <row r="10" spans="1:7" x14ac:dyDescent="0.15">
      <c r="A10" t="str">
        <f>HYPERLINK("./new_k5/query_cmdrels_weight_analyze/0.3_0.3_0.4/au_110477.xlsx","au_110477")</f>
        <v>au_110477</v>
      </c>
      <c r="B10">
        <v>0.25</v>
      </c>
      <c r="C10">
        <v>0.25</v>
      </c>
      <c r="D10">
        <v>0.5</v>
      </c>
      <c r="E10">
        <v>0.75</v>
      </c>
      <c r="F10">
        <v>0.5</v>
      </c>
      <c r="G10">
        <v>0.75</v>
      </c>
    </row>
    <row r="11" spans="1:7" x14ac:dyDescent="0.15">
      <c r="A11" t="str">
        <f>HYPERLINK("./new_k5/query_cmdrels_weight_analyze/0.3_0.3_0.4/au_111678.xlsx","au_111678")</f>
        <v>au_111678</v>
      </c>
      <c r="B11">
        <v>0</v>
      </c>
      <c r="C11">
        <v>0.33333333333333331</v>
      </c>
      <c r="D11">
        <v>0.1111111111111111</v>
      </c>
      <c r="E11">
        <v>0.33333333333333331</v>
      </c>
      <c r="F11">
        <v>0.1111111111111111</v>
      </c>
      <c r="G11">
        <v>0.33333333333333331</v>
      </c>
    </row>
    <row r="12" spans="1:7" x14ac:dyDescent="0.15">
      <c r="A12" t="str">
        <f>HYPERLINK("./new_k5/query_cmdrels_weight_analyze/0.3_0.3_0.4/au_112512.xlsx","au_112512")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HYPERLINK("./new_k5/query_cmdrels_weight_analyze/0.3_0.3_0.4/au_115369.xlsx","au_115369")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HYPERLINK("./new_k5/query_cmdrels_weight_analyze/0.3_0.3_0.4/au_11789.xlsx","au_11789")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HYPERLINK("./new_k5/query_cmdrels_weight_analyze/0.3_0.3_0.4/au_117950.xlsx","au_117950")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0.125</v>
      </c>
    </row>
    <row r="16" spans="1:7" x14ac:dyDescent="0.15">
      <c r="A16" t="str">
        <f>HYPERLINK("./new_k5/query_cmdrels_weight_analyze/0.3_0.3_0.4/au_122113.xlsx","au_122113")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HYPERLINK("./new_k5/query_cmdrels_weight_analyze/0.3_0.3_0.4/au_123798.xlsx","au_123798")</f>
        <v>au_123798</v>
      </c>
      <c r="B17">
        <v>0</v>
      </c>
      <c r="C17">
        <v>0</v>
      </c>
      <c r="D17">
        <v>5.5555555555555552E-2</v>
      </c>
      <c r="E17">
        <v>5.5555555555555552E-2</v>
      </c>
      <c r="F17">
        <v>0.23888888888888879</v>
      </c>
      <c r="G17">
        <v>0.23888888888888879</v>
      </c>
    </row>
    <row r="18" spans="1:7" x14ac:dyDescent="0.15">
      <c r="A18" t="str">
        <f>HYPERLINK("./new_k5/query_cmdrels_weight_analyze/0.3_0.3_0.4/au_125257.xlsx","au_125257")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HYPERLINK("./new_k5/query_cmdrels_weight_analyze/0.3_0.3_0.4/au_126153.xlsx","au_126153")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0.27777777777777768</v>
      </c>
      <c r="F19">
        <v>0.45833333333333331</v>
      </c>
      <c r="G19">
        <v>0.40277777777777768</v>
      </c>
    </row>
    <row r="20" spans="1:7" x14ac:dyDescent="0.15">
      <c r="A20" t="str">
        <f>HYPERLINK("./new_k5/query_cmdrels_weight_analyze/0.3_0.3_0.4/au_127326.xlsx","au_127326")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HYPERLINK("./new_k5/query_cmdrels_weight_analyze/0.3_0.3_0.4/au_128463.xlsx","au_128463")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HYPERLINK("./new_k5/query_cmdrels_weight_analyze/0.3_0.3_0.4/au_130393.xlsx","au_130393")</f>
        <v>au_130393</v>
      </c>
      <c r="B22">
        <v>0</v>
      </c>
      <c r="C22">
        <v>0.25</v>
      </c>
      <c r="D22">
        <v>0.125</v>
      </c>
      <c r="E22">
        <v>0.25</v>
      </c>
      <c r="F22">
        <v>0.125</v>
      </c>
      <c r="G22">
        <v>0.375</v>
      </c>
    </row>
    <row r="23" spans="1:7" x14ac:dyDescent="0.15">
      <c r="A23" t="str">
        <f>HYPERLINK("./new_k5/query_cmdrels_weight_analyze/0.3_0.3_0.4/au_131570.xlsx","au_131570")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HYPERLINK("./new_k5/query_cmdrels_weight_analyze/0.3_0.3_0.4/au_133318.xlsx","au_133318")</f>
        <v>au_133318</v>
      </c>
      <c r="B24">
        <v>0</v>
      </c>
      <c r="C24">
        <v>0.25</v>
      </c>
      <c r="D24">
        <v>0</v>
      </c>
      <c r="E24">
        <v>0.25</v>
      </c>
      <c r="F24">
        <v>0</v>
      </c>
      <c r="G24">
        <v>0.375</v>
      </c>
    </row>
    <row r="25" spans="1:7" x14ac:dyDescent="0.15">
      <c r="A25" t="str">
        <f>HYPERLINK("./new_k5/query_cmdrels_weight_analyze/0.3_0.3_0.4/au_133343.xlsx","au_133343")</f>
        <v>au_133343</v>
      </c>
      <c r="B25">
        <v>0</v>
      </c>
      <c r="C25">
        <v>0</v>
      </c>
      <c r="D25">
        <v>0</v>
      </c>
      <c r="E25">
        <v>0.1111111111111111</v>
      </c>
      <c r="F25">
        <v>0</v>
      </c>
      <c r="G25">
        <v>0.27777777777777768</v>
      </c>
    </row>
    <row r="26" spans="1:7" x14ac:dyDescent="0.15">
      <c r="A26" t="str">
        <f>HYPERLINK("./new_k5/query_cmdrels_weight_analyze/0.3_0.3_0.4/au_133389.xlsx","au_133389")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HYPERLINK("./new_k5/query_cmdrels_weight_analyze/0.3_0.3_0.4/au_141277.xlsx","au_141277")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HYPERLINK("./new_k5/query_cmdrels_weight_analyze/0.3_0.3_0.4/au_143819.xlsx","au_143819")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HYPERLINK("./new_k5/query_cmdrels_weight_analyze/0.3_0.3_0.4/au_145935.xlsx","au_145935")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HYPERLINK("./new_k5/query_cmdrels_weight_analyze/0.3_0.3_0.4/au_147241.xlsx","au_147241")</f>
        <v>au_147241</v>
      </c>
      <c r="B30">
        <v>0</v>
      </c>
      <c r="C30">
        <v>0</v>
      </c>
      <c r="D30">
        <v>0.29166666666666657</v>
      </c>
      <c r="E30">
        <v>0.29166666666666657</v>
      </c>
      <c r="F30">
        <v>0.29166666666666657</v>
      </c>
      <c r="G30">
        <v>0.47916666666666657</v>
      </c>
    </row>
    <row r="31" spans="1:7" x14ac:dyDescent="0.15">
      <c r="A31" t="str">
        <f>HYPERLINK("./new_k5/query_cmdrels_weight_analyze/0.3_0.3_0.4/au_147800.xlsx","au_147800")</f>
        <v>au_147800</v>
      </c>
      <c r="B31">
        <v>0</v>
      </c>
      <c r="C31">
        <v>0</v>
      </c>
      <c r="D31">
        <v>0.1111111111111111</v>
      </c>
      <c r="E31">
        <v>0.1111111111111111</v>
      </c>
      <c r="F31">
        <v>0.1111111111111111</v>
      </c>
      <c r="G31">
        <v>0.1111111111111111</v>
      </c>
    </row>
    <row r="32" spans="1:7" x14ac:dyDescent="0.15">
      <c r="A32" t="str">
        <f>HYPERLINK("./new_k5/query_cmdrels_weight_analyze/0.3_0.3_0.4/au_148321.xlsx","au_148321")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0.40277777777777768</v>
      </c>
    </row>
    <row r="33" spans="1:7" x14ac:dyDescent="0.15">
      <c r="A33" t="str">
        <f>HYPERLINK("./new_k5/query_cmdrels_weight_analyze/0.3_0.3_0.4/au_148638.xlsx","au_148638")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HYPERLINK("./new_k5/query_cmdrels_weight_analyze/0.3_0.3_0.4/au_151049.xlsx","au_151049")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HYPERLINK("./new_k5/query_cmdrels_weight_analyze/0.3_0.3_0.4/au_151941.xlsx","au_151941")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HYPERLINK("./new_k5/query_cmdrels_weight_analyze/0.3_0.3_0.4/au_152297.xlsx","au_152297")</f>
        <v>au_152297</v>
      </c>
      <c r="B36">
        <v>0</v>
      </c>
      <c r="C36">
        <v>0</v>
      </c>
      <c r="D36">
        <v>7.1428571428571425E-2</v>
      </c>
      <c r="E36">
        <v>0.16666666666666671</v>
      </c>
      <c r="F36">
        <v>7.1428571428571425E-2</v>
      </c>
      <c r="G36">
        <v>0.25238095238095237</v>
      </c>
    </row>
    <row r="37" spans="1:7" x14ac:dyDescent="0.15">
      <c r="A37" t="str">
        <f>HYPERLINK("./new_k5/query_cmdrels_weight_analyze/0.3_0.3_0.4/au_153976.xlsx","au_153976")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0.27777777777777768</v>
      </c>
      <c r="F37">
        <v>0.33333333333333331</v>
      </c>
      <c r="G37">
        <v>0.37777777777777782</v>
      </c>
    </row>
    <row r="38" spans="1:7" x14ac:dyDescent="0.15">
      <c r="A38" t="str">
        <f>HYPERLINK("./new_k5/query_cmdrels_weight_analyze/0.3_0.3_0.4/au_154431.xlsx","au_154431")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HYPERLINK("./new_k5/query_cmdrels_weight_analyze/0.3_0.3_0.4/au_159708.xlsx","au_159708")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0.33333333333333331</v>
      </c>
      <c r="F39">
        <v>0.33333333333333331</v>
      </c>
      <c r="G39">
        <v>0.33333333333333331</v>
      </c>
    </row>
    <row r="40" spans="1:7" x14ac:dyDescent="0.15">
      <c r="A40" t="str">
        <f>HYPERLINK("./new_k5/query_cmdrels_weight_analyze/0.3_0.3_0.4/au_160869.xlsx","au_160869")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HYPERLINK("./new_k5/query_cmdrels_weight_analyze/0.3_0.3_0.4/au_161313.xlsx","au_161313")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</v>
      </c>
    </row>
    <row r="42" spans="1:7" x14ac:dyDescent="0.15">
      <c r="A42" t="str">
        <f>HYPERLINK("./new_k5/query_cmdrels_weight_analyze/0.3_0.3_0.4/au_162075.xlsx","au_162075")</f>
        <v>au_162075</v>
      </c>
      <c r="B42">
        <v>0.25</v>
      </c>
      <c r="C42">
        <v>0.25</v>
      </c>
      <c r="D42">
        <v>0.5</v>
      </c>
      <c r="E42">
        <v>0.5</v>
      </c>
      <c r="F42">
        <v>0.5</v>
      </c>
      <c r="G42">
        <v>0.5</v>
      </c>
    </row>
    <row r="43" spans="1:7" x14ac:dyDescent="0.15">
      <c r="A43" t="str">
        <f>HYPERLINK("./new_k5/query_cmdrels_weight_analyze/0.3_0.3_0.4/au_16277.xlsx","au_16277")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0.66666666666666663</v>
      </c>
    </row>
    <row r="44" spans="1:7" x14ac:dyDescent="0.15">
      <c r="A44" t="str">
        <f>HYPERLINK("./new_k5/query_cmdrels_weight_analyze/0.3_0.3_0.4/au_163155.xlsx","au_163155")</f>
        <v>au_163155</v>
      </c>
      <c r="B44">
        <v>0.125</v>
      </c>
      <c r="C44">
        <v>0.125</v>
      </c>
      <c r="D44">
        <v>0.375</v>
      </c>
      <c r="E44">
        <v>0.375</v>
      </c>
      <c r="F44">
        <v>0.5</v>
      </c>
      <c r="G44">
        <v>0.5</v>
      </c>
    </row>
    <row r="45" spans="1:7" x14ac:dyDescent="0.15">
      <c r="A45" t="str">
        <f>HYPERLINK("./new_k5/query_cmdrels_weight_analyze/0.3_0.3_0.4/au_164473.xlsx","au_164473")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HYPERLINK("./new_k5/query_cmdrels_weight_analyze/0.3_0.3_0.4/au_16584.xlsx","au_16584")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9.0909090909090912E-2</v>
      </c>
      <c r="F46">
        <v>0.13636363636363641</v>
      </c>
      <c r="G46">
        <v>9.0909090909090912E-2</v>
      </c>
    </row>
    <row r="47" spans="1:7" x14ac:dyDescent="0.15">
      <c r="A47" t="str">
        <f>HYPERLINK("./new_k5/query_cmdrels_weight_analyze/0.3_0.3_0.4/au_166420.xlsx","au_166420")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HYPERLINK("./new_k5/query_cmdrels_weight_analyze/0.3_0.3_0.4/au_169473.xlsx","au_169473")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0.16666666666666671</v>
      </c>
      <c r="F48">
        <v>0.43333333333333329</v>
      </c>
      <c r="G48">
        <v>0.35</v>
      </c>
    </row>
    <row r="49" spans="1:7" x14ac:dyDescent="0.15">
      <c r="A49" t="str">
        <f>HYPERLINK("./new_k5/query_cmdrels_weight_analyze/0.3_0.3_0.4/au_169516.xlsx","au_169516")</f>
        <v>au_169516</v>
      </c>
      <c r="B49">
        <v>0.25</v>
      </c>
      <c r="C49">
        <v>0</v>
      </c>
      <c r="D49">
        <v>0.25</v>
      </c>
      <c r="E49">
        <v>0.29166666666666657</v>
      </c>
      <c r="F49">
        <v>0.25</v>
      </c>
      <c r="G49">
        <v>0.29166666666666657</v>
      </c>
    </row>
    <row r="50" spans="1:7" x14ac:dyDescent="0.15">
      <c r="A50" t="str">
        <f>HYPERLINK("./new_k5/query_cmdrels_weight_analyze/0.3_0.3_0.4/au_174292.xlsx","au_174292")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HYPERLINK("./new_k5/query_cmdrels_weight_analyze/0.3_0.3_0.4/au_178481.xlsx","au_178481")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HYPERLINK("./new_k5/query_cmdrels_weight_analyze/0.3_0.3_0.4/au_180925.xlsx","au_180925")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HYPERLINK("./new_k5/query_cmdrels_weight_analyze/0.3_0.3_0.4/au_187888.xlsx","au_187888")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HYPERLINK("./new_k5/query_cmdrels_weight_analyze/0.3_0.3_0.4/au_191390.xlsx","au_191390")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HYPERLINK("./new_k5/query_cmdrels_weight_analyze/0.3_0.3_0.4/au_192798.xlsx","au_192798")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HYPERLINK("./new_k5/query_cmdrels_weight_analyze/0.3_0.3_0.4/au_201775.xlsx","au_201775")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0.33333333333333331</v>
      </c>
      <c r="F56">
        <v>0.66666666666666663</v>
      </c>
      <c r="G56">
        <v>0.70000000000000007</v>
      </c>
    </row>
    <row r="57" spans="1:7" x14ac:dyDescent="0.15">
      <c r="A57" t="str">
        <f>HYPERLINK("./new_k5/query_cmdrels_weight_analyze/0.3_0.3_0.4/au_204166.xlsx","au_204166")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HYPERLINK("./new_k5/query_cmdrels_weight_analyze/0.3_0.3_0.4/au_207447.xlsx","au_207447")</f>
        <v>au_207447</v>
      </c>
      <c r="B58">
        <v>0.33333333333333331</v>
      </c>
      <c r="C58">
        <v>0.33333333333333331</v>
      </c>
      <c r="D58">
        <v>0.33333333333333331</v>
      </c>
      <c r="E58">
        <v>0.33333333333333331</v>
      </c>
      <c r="F58">
        <v>0.33333333333333331</v>
      </c>
      <c r="G58">
        <v>0.46666666666666662</v>
      </c>
    </row>
    <row r="59" spans="1:7" x14ac:dyDescent="0.15">
      <c r="A59" t="str">
        <f>HYPERLINK("./new_k5/query_cmdrels_weight_analyze/0.3_0.3_0.4/au_210680.xlsx","au_210680")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HYPERLINK("./new_k5/query_cmdrels_weight_analyze/0.3_0.3_0.4/au_214246.xlsx","au_214246")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HYPERLINK("./new_k5/query_cmdrels_weight_analyze/0.3_0.3_0.4/au_214643.xlsx","au_214643")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HYPERLINK("./new_k5/query_cmdrels_weight_analyze/0.3_0.3_0.4/au_2194.xlsx","au_2194")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HYPERLINK("./new_k5/query_cmdrels_weight_analyze/0.3_0.3_0.4/au_221962.xlsx","au_221962")</f>
        <v>au_221962</v>
      </c>
      <c r="B63">
        <v>0</v>
      </c>
      <c r="C63">
        <v>0</v>
      </c>
      <c r="D63">
        <v>5.5555555555555552E-2</v>
      </c>
      <c r="E63">
        <v>8.3333333333333329E-2</v>
      </c>
      <c r="F63">
        <v>0.1388888888888889</v>
      </c>
      <c r="G63">
        <v>0.26666666666666672</v>
      </c>
    </row>
    <row r="64" spans="1:7" x14ac:dyDescent="0.15">
      <c r="A64" t="str">
        <f>HYPERLINK("./new_k5/query_cmdrels_weight_analyze/0.3_0.3_0.4/au_22608.xlsx","au_22608")</f>
        <v>au_22608</v>
      </c>
      <c r="B64">
        <v>0.33333333333333331</v>
      </c>
      <c r="C64">
        <v>0.33333333333333331</v>
      </c>
      <c r="D64">
        <v>0.33333333333333331</v>
      </c>
      <c r="E64">
        <v>0.55555555555555547</v>
      </c>
      <c r="F64">
        <v>0.33333333333333331</v>
      </c>
      <c r="G64">
        <v>0.55555555555555547</v>
      </c>
    </row>
    <row r="65" spans="1:7" x14ac:dyDescent="0.15">
      <c r="A65" t="str">
        <f>HYPERLINK("./new_k5/query_cmdrels_weight_analyze/0.3_0.3_0.4/au_230698.xlsx","au_230698")</f>
        <v>au_230698</v>
      </c>
      <c r="B65">
        <v>0.125</v>
      </c>
      <c r="C65">
        <v>0.125</v>
      </c>
      <c r="D65">
        <v>0.25</v>
      </c>
      <c r="E65">
        <v>0.25</v>
      </c>
      <c r="F65">
        <v>0.32500000000000001</v>
      </c>
      <c r="G65">
        <v>0.34375</v>
      </c>
    </row>
    <row r="66" spans="1:7" x14ac:dyDescent="0.15">
      <c r="A66" t="str">
        <f>HYPERLINK("./new_k5/query_cmdrels_weight_analyze/0.3_0.3_0.4/au_232442.xlsx","au_232442")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HYPERLINK("./new_k5/query_cmdrels_weight_analyze/0.3_0.3_0.4/au_233378.xlsx","au_233378")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HYPERLINK("./new_k5/query_cmdrels_weight_analyze/0.3_0.3_0.4/au_24027.xlsx","au_24027")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HYPERLINK("./new_k5/query_cmdrels_weight_analyze/0.3_0.3_0.4/au_246647.xlsx","au_246647")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HYPERLINK("./new_k5/query_cmdrels_weight_analyze/0.3_0.3_0.4/au_254424.xlsx","au_254424")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HYPERLINK("./new_k5/query_cmdrels_weight_analyze/0.3_0.3_0.4/au_255890.xlsx","au_255890")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HYPERLINK("./new_k5/query_cmdrels_weight_analyze/0.3_0.3_0.4/au_257248.xlsx","au_257248")</f>
        <v>au_257248</v>
      </c>
      <c r="B72">
        <v>0</v>
      </c>
      <c r="C72">
        <v>0.14285714285714279</v>
      </c>
      <c r="D72">
        <v>0.16666666666666671</v>
      </c>
      <c r="E72">
        <v>0.23809523809523811</v>
      </c>
      <c r="F72">
        <v>0.25238095238095237</v>
      </c>
      <c r="G72">
        <v>0.32380952380952382</v>
      </c>
    </row>
    <row r="73" spans="1:7" x14ac:dyDescent="0.15">
      <c r="A73" t="str">
        <f>HYPERLINK("./new_k5/query_cmdrels_weight_analyze/0.3_0.3_0.4/au_259354.xlsx","au_259354")</f>
        <v>au_259354</v>
      </c>
      <c r="B73">
        <v>0</v>
      </c>
      <c r="C73">
        <v>0.14285714285714279</v>
      </c>
      <c r="D73">
        <v>0.16666666666666671</v>
      </c>
      <c r="E73">
        <v>0.2857142857142857</v>
      </c>
      <c r="F73">
        <v>0.27380952380952378</v>
      </c>
      <c r="G73">
        <v>0.39285714285714279</v>
      </c>
    </row>
    <row r="74" spans="1:7" x14ac:dyDescent="0.15">
      <c r="A74" t="str">
        <f>HYPERLINK("./new_k5/query_cmdrels_weight_analyze/0.3_0.3_0.4/au_263378.xlsx","au_263378")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0.5</v>
      </c>
    </row>
    <row r="75" spans="1:7" x14ac:dyDescent="0.15">
      <c r="A75" t="str">
        <f>HYPERLINK("./new_k5/query_cmdrels_weight_analyze/0.3_0.3_0.4/au_264215.xlsx","au_264215")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HYPERLINK("./new_k5/query_cmdrels_weight_analyze/0.3_0.3_0.4/au_265176.xlsx","au_265176")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HYPERLINK("./new_k5/query_cmdrels_weight_analyze/0.3_0.3_0.4/au_275704.xlsx","au_275704")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HYPERLINK("./new_k5/query_cmdrels_weight_analyze/0.3_0.3_0.4/au_276669.xlsx","au_276669")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HYPERLINK("./new_k5/query_cmdrels_weight_analyze/0.3_0.3_0.4/au_277565.xlsx","au_277565")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HYPERLINK("./new_k5/query_cmdrels_weight_analyze/0.3_0.3_0.4/au_278403.xlsx","au_278403")</f>
        <v>au_278403</v>
      </c>
      <c r="B80">
        <v>0</v>
      </c>
      <c r="C80">
        <v>0</v>
      </c>
      <c r="D80">
        <v>8.3333333333333329E-2</v>
      </c>
      <c r="E80">
        <v>8.3333333333333329E-2</v>
      </c>
      <c r="F80">
        <v>0.20833333333333329</v>
      </c>
      <c r="G80">
        <v>0.20833333333333329</v>
      </c>
    </row>
    <row r="81" spans="1:7" x14ac:dyDescent="0.15">
      <c r="A81" t="str">
        <f>HYPERLINK("./new_k5/query_cmdrels_weight_analyze/0.3_0.3_0.4/au_28039.xlsx","au_28039")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HYPERLINK("./new_k5/query_cmdrels_weight_analyze/0.3_0.3_0.4/au_281509.xlsx","au_281509")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HYPERLINK("./new_k5/query_cmdrels_weight_analyze/0.3_0.3_0.4/au_282806.xlsx","au_282806")</f>
        <v>au_282806</v>
      </c>
      <c r="B83">
        <v>0</v>
      </c>
      <c r="C83">
        <v>0.33333333333333331</v>
      </c>
      <c r="D83">
        <v>0.38888888888888878</v>
      </c>
      <c r="E83">
        <v>0.55555555555555547</v>
      </c>
      <c r="F83">
        <v>0.38888888888888878</v>
      </c>
      <c r="G83">
        <v>0.80555555555555547</v>
      </c>
    </row>
    <row r="84" spans="1:7" x14ac:dyDescent="0.15">
      <c r="A84" t="str">
        <f>HYPERLINK("./new_k5/query_cmdrels_weight_analyze/0.3_0.3_0.4/au_283559.xlsx","au_283559")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HYPERLINK("./new_k5/query_cmdrels_weight_analyze/0.3_0.3_0.4/au_285539.xlsx","au_285539")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HYPERLINK("./new_k5/query_cmdrels_weight_analyze/0.3_0.3_0.4/au_287532.xlsx","au_287532")</f>
        <v>au_287532</v>
      </c>
      <c r="B86">
        <v>0</v>
      </c>
      <c r="C86">
        <v>0</v>
      </c>
      <c r="D86">
        <v>0</v>
      </c>
      <c r="E86">
        <v>8.3333333333333329E-2</v>
      </c>
      <c r="F86">
        <v>0</v>
      </c>
      <c r="G86">
        <v>8.3333333333333329E-2</v>
      </c>
    </row>
    <row r="87" spans="1:7" x14ac:dyDescent="0.15">
      <c r="A87" t="str">
        <f>HYPERLINK("./new_k5/query_cmdrels_weight_analyze/0.3_0.3_0.4/au_294257.xlsx","au_294257")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HYPERLINK("./new_k5/query_cmdrels_weight_analyze/0.3_0.3_0.4/au_296155.xlsx","au_296155")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HYPERLINK("./new_k5/query_cmdrels_weight_analyze/0.3_0.3_0.4/au_299975.xlsx","au_299975")</f>
        <v>au_299975</v>
      </c>
      <c r="B89">
        <v>0.25</v>
      </c>
      <c r="C89">
        <v>0</v>
      </c>
      <c r="D89">
        <v>0.5</v>
      </c>
      <c r="E89">
        <v>8.3333333333333329E-2</v>
      </c>
      <c r="F89">
        <v>0.6875</v>
      </c>
      <c r="G89">
        <v>8.3333333333333329E-2</v>
      </c>
    </row>
    <row r="90" spans="1:7" x14ac:dyDescent="0.15">
      <c r="A90" t="str">
        <f>HYPERLINK("./new_k5/query_cmdrels_weight_analyze/0.3_0.3_0.4/au_301096.xlsx","au_301096")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HYPERLINK("./new_k5/query_cmdrels_weight_analyze/0.3_0.3_0.4/au_303593.xlsx","au_303593")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HYPERLINK("./new_k5/query_cmdrels_weight_analyze/0.3_0.3_0.4/au_303849.xlsx","au_303849")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HYPERLINK("./new_k5/query_cmdrels_weight_analyze/0.3_0.3_0.4/au_307541.xlsx","au_307541")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HYPERLINK("./new_k5/query_cmdrels_weight_analyze/0.3_0.3_0.4/au_307688.xlsx","au_307688")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HYPERLINK("./new_k5/query_cmdrels_weight_analyze/0.3_0.3_0.4/au_309047.xlsx","au_309047")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HYPERLINK("./new_k5/query_cmdrels_weight_analyze/0.3_0.3_0.4/au_311558.xlsx","au_311558")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0.41666666666666657</v>
      </c>
    </row>
    <row r="97" spans="1:7" x14ac:dyDescent="0.15">
      <c r="A97" t="str">
        <f>HYPERLINK("./new_k5/query_cmdrels_weight_analyze/0.3_0.3_0.4/au_318973.xlsx","au_318973")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HYPERLINK("./new_k5/query_cmdrels_weight_analyze/0.3_0.3_0.4/au_3205.xlsx","au_3205")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HYPERLINK("./new_k5/query_cmdrels_weight_analyze/0.3_0.3_0.4/au_323131.xlsx","au_323131")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HYPERLINK("./new_k5/query_cmdrels_weight_analyze/0.3_0.3_0.4/au_323392.xlsx","au_323392")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HYPERLINK("./new_k5/query_cmdrels_weight_analyze/0.3_0.3_0.4/au_325368.xlsx","au_325368")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HYPERLINK("./new_k5/query_cmdrels_weight_analyze/0.3_0.3_0.4/au_328162.xlsx","au_328162")</f>
        <v>au_328162</v>
      </c>
      <c r="B102">
        <v>0.33333333333333331</v>
      </c>
      <c r="C102">
        <v>0.33333333333333331</v>
      </c>
      <c r="D102">
        <v>1</v>
      </c>
      <c r="E102">
        <v>0.55555555555555547</v>
      </c>
      <c r="F102">
        <v>1</v>
      </c>
      <c r="G102">
        <v>0.80555555555555547</v>
      </c>
    </row>
    <row r="103" spans="1:7" x14ac:dyDescent="0.15">
      <c r="A103" t="str">
        <f>HYPERLINK("./new_k5/query_cmdrels_weight_analyze/0.3_0.3_0.4/au_330148.xlsx","au_330148")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HYPERLINK("./new_k5/query_cmdrels_weight_analyze/0.3_0.3_0.4/au_332315.xlsx","au_332315")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HYPERLINK("./new_k5/query_cmdrels_weight_analyze/0.3_0.3_0.4/au_334081.xlsx","au_334081")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HYPERLINK("./new_k5/query_cmdrels_weight_analyze/0.3_0.3_0.4/au_34077.xlsx","au_34077")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0.5</v>
      </c>
      <c r="F106">
        <v>0.33333333333333331</v>
      </c>
      <c r="G106">
        <v>0.6333333333333333</v>
      </c>
    </row>
    <row r="107" spans="1:7" x14ac:dyDescent="0.15">
      <c r="A107" t="str">
        <f>HYPERLINK("./new_k5/query_cmdrels_weight_analyze/0.3_0.3_0.4/au_341428.xlsx","au_341428")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HYPERLINK("./new_k5/query_cmdrels_weight_analyze/0.3_0.3_0.4/au_341584.xlsx","au_341584")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HYPERLINK("./new_k5/query_cmdrels_weight_analyze/0.3_0.3_0.4/au_346864.xlsx","au_346864")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0.2857142857142857</v>
      </c>
      <c r="F109">
        <v>0.23809523809523811</v>
      </c>
      <c r="G109">
        <v>0.39285714285714279</v>
      </c>
    </row>
    <row r="110" spans="1:7" x14ac:dyDescent="0.15">
      <c r="A110" t="str">
        <f>HYPERLINK("./new_k5/query_cmdrels_weight_analyze/0.3_0.3_0.4/au_351765.xlsx","au_351765")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0.5</v>
      </c>
    </row>
    <row r="111" spans="1:7" x14ac:dyDescent="0.15">
      <c r="A111" t="str">
        <f>HYPERLINK("./new_k5/query_cmdrels_weight_analyze/0.3_0.3_0.4/au_35922.xlsx","au_35922")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HYPERLINK("./new_k5/query_cmdrels_weight_analyze/0.3_0.3_0.4/au_359856.xlsx","au_359856")</f>
        <v>au_359856</v>
      </c>
      <c r="B112">
        <v>0.25</v>
      </c>
      <c r="C112">
        <v>0.25</v>
      </c>
      <c r="D112">
        <v>0.75</v>
      </c>
      <c r="E112">
        <v>0.5</v>
      </c>
      <c r="F112">
        <v>0.95</v>
      </c>
      <c r="G112">
        <v>0.5</v>
      </c>
    </row>
    <row r="113" spans="1:7" x14ac:dyDescent="0.15">
      <c r="A113" t="str">
        <f>HYPERLINK("./new_k5/query_cmdrels_weight_analyze/0.3_0.3_0.4/au_360423.xlsx","au_360423")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HYPERLINK("./new_k5/query_cmdrels_weight_analyze/0.3_0.3_0.4/au_36287.xlsx","au_36287")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HYPERLINK("./new_k5/query_cmdrels_weight_analyze/0.3_0.3_0.4/au_366742.xlsx","au_366742")</f>
        <v>au_366742</v>
      </c>
      <c r="B115">
        <v>0</v>
      </c>
      <c r="C115">
        <v>0</v>
      </c>
      <c r="D115">
        <v>0</v>
      </c>
      <c r="E115">
        <v>0.125</v>
      </c>
      <c r="F115">
        <v>0</v>
      </c>
      <c r="G115">
        <v>0.22500000000000001</v>
      </c>
    </row>
    <row r="116" spans="1:7" x14ac:dyDescent="0.15">
      <c r="A116" t="str">
        <f>HYPERLINK("./new_k5/query_cmdrels_weight_analyze/0.3_0.3_0.4/au_377937.xlsx","au_377937")</f>
        <v>au_377937</v>
      </c>
      <c r="B116">
        <v>0.25</v>
      </c>
      <c r="C116">
        <v>0.25</v>
      </c>
      <c r="D116">
        <v>0.5</v>
      </c>
      <c r="E116">
        <v>0.75</v>
      </c>
      <c r="F116">
        <v>0.5</v>
      </c>
      <c r="G116">
        <v>0.75</v>
      </c>
    </row>
    <row r="117" spans="1:7" x14ac:dyDescent="0.15">
      <c r="A117" t="str">
        <f>HYPERLINK("./new_k5/query_cmdrels_weight_analyze/0.3_0.3_0.4/au_383997.xlsx","au_383997")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0.50714285714285712</v>
      </c>
    </row>
    <row r="118" spans="1:7" x14ac:dyDescent="0.15">
      <c r="A118" t="str">
        <f>HYPERLINK("./new_k5/query_cmdrels_weight_analyze/0.3_0.3_0.4/au_3883.xlsx","au_3883")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0.375</v>
      </c>
    </row>
    <row r="119" spans="1:7" x14ac:dyDescent="0.15">
      <c r="A119" t="str">
        <f>HYPERLINK("./new_k5/query_cmdrels_weight_analyze/0.3_0.3_0.4/au_396883.xlsx","au_396883")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HYPERLINK("./new_k5/query_cmdrels_weight_analyze/0.3_0.3_0.4/au_39760.xlsx","au_39760")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HYPERLINK("./new_k5/query_cmdrels_weight_analyze/0.3_0.3_0.4/au_398818.xlsx","au_398818")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HYPERLINK("./new_k5/query_cmdrels_weight_analyze/0.3_0.3_0.4/au_400807.xlsx","au_400807")</f>
        <v>au_400807</v>
      </c>
      <c r="B122">
        <v>0</v>
      </c>
      <c r="C122">
        <v>0.33333333333333331</v>
      </c>
      <c r="D122">
        <v>0.16666666666666671</v>
      </c>
      <c r="E122">
        <v>0.66666666666666663</v>
      </c>
      <c r="F122">
        <v>0.16666666666666671</v>
      </c>
      <c r="G122">
        <v>0.91666666666666663</v>
      </c>
    </row>
    <row r="123" spans="1:7" x14ac:dyDescent="0.15">
      <c r="A123" t="str">
        <f>HYPERLINK("./new_k5/query_cmdrels_weight_analyze/0.3_0.3_0.4/au_408611.xlsx","au_408611")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HYPERLINK("./new_k5/query_cmdrels_weight_analyze/0.3_0.3_0.4/au_414737.xlsx","au_414737")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HYPERLINK("./new_k5/query_cmdrels_weight_analyze/0.3_0.3_0.4/au_420722.xlsx","au_420722")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HYPERLINK("./new_k5/query_cmdrels_weight_analyze/0.3_0.3_0.4/au_423942.xlsx","au_423942")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HYPERLINK("./new_k5/query_cmdrels_weight_analyze/0.3_0.3_0.4/au_430382.xlsx","au_430382")</f>
        <v>au_430382</v>
      </c>
      <c r="B127">
        <v>0</v>
      </c>
      <c r="C127">
        <v>0.25</v>
      </c>
      <c r="D127">
        <v>0.29166666666666657</v>
      </c>
      <c r="E127">
        <v>0.5</v>
      </c>
      <c r="F127">
        <v>0.29166666666666657</v>
      </c>
      <c r="G127">
        <v>0.5</v>
      </c>
    </row>
    <row r="128" spans="1:7" x14ac:dyDescent="0.15">
      <c r="A128" t="str">
        <f>HYPERLINK("./new_k5/query_cmdrels_weight_analyze/0.3_0.3_0.4/au_432836.xlsx","au_432836")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HYPERLINK("./new_k5/query_cmdrels_weight_analyze/0.3_0.3_0.4/au_440326.xlsx","au_440326")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HYPERLINK("./new_k5/query_cmdrels_weight_analyze/0.3_0.3_0.4/au_442914.xlsx","au_442914")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HYPERLINK("./new_k5/query_cmdrels_weight_analyze/0.3_0.3_0.4/au_443227.xlsx","au_443227")</f>
        <v>au_443227</v>
      </c>
      <c r="B131">
        <v>0.5</v>
      </c>
      <c r="C131">
        <v>0</v>
      </c>
      <c r="D131">
        <v>0.5</v>
      </c>
      <c r="E131">
        <v>0.25</v>
      </c>
      <c r="F131">
        <v>0.5</v>
      </c>
      <c r="G131">
        <v>0.25</v>
      </c>
    </row>
    <row r="132" spans="1:7" x14ac:dyDescent="0.15">
      <c r="A132" t="str">
        <f>HYPERLINK("./new_k5/query_cmdrels_weight_analyze/0.3_0.3_0.4/au_44534.xlsx","au_44534")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HYPERLINK("./new_k5/query_cmdrels_weight_analyze/0.3_0.3_0.4/au_451805.xlsx","au_451805")</f>
        <v>au_451805</v>
      </c>
      <c r="B133">
        <v>0.33333333333333331</v>
      </c>
      <c r="C133">
        <v>0.33333333333333331</v>
      </c>
      <c r="D133">
        <v>0.33333333333333331</v>
      </c>
      <c r="E133">
        <v>0.33333333333333331</v>
      </c>
      <c r="F133">
        <v>0.33333333333333331</v>
      </c>
      <c r="G133">
        <v>0.33333333333333331</v>
      </c>
    </row>
    <row r="134" spans="1:7" x14ac:dyDescent="0.15">
      <c r="A134" t="str">
        <f>HYPERLINK("./new_k5/query_cmdrels_weight_analyze/0.3_0.3_0.4/au_464264.xlsx","au_464264")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0.16666666666666671</v>
      </c>
    </row>
    <row r="135" spans="1:7" x14ac:dyDescent="0.15">
      <c r="A135" t="str">
        <f>HYPERLINK("./new_k5/query_cmdrels_weight_analyze/0.3_0.3_0.4/au_468808.xlsx","au_468808")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HYPERLINK("./new_k5/query_cmdrels_weight_analyze/0.3_0.3_0.4/au_469143.xlsx","au_469143")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HYPERLINK("./new_k5/query_cmdrels_weight_analyze/0.3_0.3_0.4/au_470237.xlsx","au_470237")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HYPERLINK("./new_k5/query_cmdrels_weight_analyze/0.3_0.3_0.4/au_473037.xlsx","au_473037")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0.125</v>
      </c>
    </row>
    <row r="139" spans="1:7" x14ac:dyDescent="0.15">
      <c r="A139" t="str">
        <f>HYPERLINK("./new_k5/query_cmdrels_weight_analyze/0.3_0.3_0.4/au_48362.xlsx","au_48362")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HYPERLINK("./new_k5/query_cmdrels_weight_analyze/0.3_0.3_0.4/au_488435.xlsx","au_488435")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HYPERLINK("./new_k5/query_cmdrels_weight_analyze/0.3_0.3_0.4/au_493826.xlsx","au_493826")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HYPERLINK("./new_k5/query_cmdrels_weight_analyze/0.3_0.3_0.4/au_502110.xlsx","au_502110")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HYPERLINK("./new_k5/query_cmdrels_weight_analyze/0.3_0.3_0.4/au_50344.xlsx","au_50344")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HYPERLINK("./new_k5/query_cmdrels_weight_analyze/0.3_0.3_0.4/au_511467.xlsx","au_511467")</f>
        <v>au_511467</v>
      </c>
      <c r="B144">
        <v>0</v>
      </c>
      <c r="C144">
        <v>0.16666666666666671</v>
      </c>
      <c r="D144">
        <v>0.19444444444444439</v>
      </c>
      <c r="E144">
        <v>0.16666666666666671</v>
      </c>
      <c r="F144">
        <v>0.19444444444444439</v>
      </c>
      <c r="G144">
        <v>0.25</v>
      </c>
    </row>
    <row r="145" spans="1:7" x14ac:dyDescent="0.15">
      <c r="A145" t="str">
        <f>HYPERLINK("./new_k5/query_cmdrels_weight_analyze/0.3_0.3_0.4/au_513046.xlsx","au_513046")</f>
        <v>au_513046</v>
      </c>
      <c r="B145">
        <v>0.25</v>
      </c>
      <c r="C145">
        <v>0</v>
      </c>
      <c r="D145">
        <v>0.5</v>
      </c>
      <c r="E145">
        <v>8.3333333333333329E-2</v>
      </c>
      <c r="F145">
        <v>0.5</v>
      </c>
      <c r="G145">
        <v>0.20833333333333329</v>
      </c>
    </row>
    <row r="146" spans="1:7" x14ac:dyDescent="0.15">
      <c r="A146" t="str">
        <f>HYPERLINK("./new_k5/query_cmdrels_weight_analyze/0.3_0.3_0.4/au_517354.xlsx","au_517354")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0.34523809523809518</v>
      </c>
    </row>
    <row r="147" spans="1:7" x14ac:dyDescent="0.15">
      <c r="A147" t="str">
        <f>HYPERLINK("./new_k5/query_cmdrels_weight_analyze/0.3_0.3_0.4/au_522431.xlsx","au_522431")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0.3833333333333333</v>
      </c>
    </row>
    <row r="148" spans="1:7" x14ac:dyDescent="0.15">
      <c r="A148" t="str">
        <f>HYPERLINK("./new_k5/query_cmdrels_weight_analyze/0.3_0.3_0.4/au_52773.xlsx","au_52773")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0.05</v>
      </c>
    </row>
    <row r="149" spans="1:7" x14ac:dyDescent="0.15">
      <c r="A149" t="str">
        <f>HYPERLINK("./new_k5/query_cmdrels_weight_analyze/0.3_0.3_0.4/au_528411.xlsx","au_528411")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HYPERLINK("./new_k5/query_cmdrels_weight_analyze/0.3_0.3_0.4/au_53263.xlsx","au_53263")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1</v>
      </c>
    </row>
    <row r="151" spans="1:7" x14ac:dyDescent="0.15">
      <c r="A151" t="str">
        <f>HYPERLINK("./new_k5/query_cmdrels_weight_analyze/0.3_0.3_0.4/au_53444.xlsx","au_53444")</f>
        <v>au_53444</v>
      </c>
      <c r="B151">
        <v>0.5</v>
      </c>
      <c r="C151">
        <v>0</v>
      </c>
      <c r="D151">
        <v>0.5</v>
      </c>
      <c r="E151">
        <v>0</v>
      </c>
      <c r="F151">
        <v>0.5</v>
      </c>
      <c r="G151">
        <v>0.125</v>
      </c>
    </row>
    <row r="152" spans="1:7" x14ac:dyDescent="0.15">
      <c r="A152" t="str">
        <f>HYPERLINK("./new_k5/query_cmdrels_weight_analyze/0.3_0.3_0.4/au_538208.xlsx","au_538208")</f>
        <v>au_538208</v>
      </c>
      <c r="B152">
        <v>0.125</v>
      </c>
      <c r="C152">
        <v>0.125</v>
      </c>
      <c r="D152">
        <v>0.375</v>
      </c>
      <c r="E152">
        <v>0.25</v>
      </c>
      <c r="F152">
        <v>0.5</v>
      </c>
      <c r="G152">
        <v>0.44374999999999998</v>
      </c>
    </row>
    <row r="153" spans="1:7" x14ac:dyDescent="0.15">
      <c r="A153" t="str">
        <f>HYPERLINK("./new_k5/query_cmdrels_weight_analyze/0.3_0.3_0.4/au_53822.xlsx","au_53822")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HYPERLINK("./new_k5/query_cmdrels_weight_analyze/0.3_0.3_0.4/au_539243.xlsx","au_539243")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0.33333333333333331</v>
      </c>
    </row>
    <row r="155" spans="1:7" x14ac:dyDescent="0.15">
      <c r="A155" t="str">
        <f>HYPERLINK("./new_k5/query_cmdrels_weight_analyze/0.3_0.3_0.4/au_558280.xlsx","au_558280")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HYPERLINK("./new_k5/query_cmdrels_weight_analyze/0.3_0.3_0.4/au_558669.xlsx","au_558669")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HYPERLINK("./new_k5/query_cmdrels_weight_analyze/0.3_0.3_0.4/au_55868.xlsx","au_55868")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HYPERLINK("./new_k5/query_cmdrels_weight_analyze/0.3_0.3_0.4/au_561.xlsx","au_561")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0.5</v>
      </c>
    </row>
    <row r="159" spans="1:7" x14ac:dyDescent="0.15">
      <c r="A159" t="str">
        <f>HYPERLINK("./new_k5/query_cmdrels_weight_analyze/0.3_0.3_0.4/au_564567.xlsx","au_564567")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HYPERLINK("./new_k5/query_cmdrels_weight_analyze/0.3_0.3_0.4/au_57994.xlsx","au_57994")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0.5714285714285714</v>
      </c>
    </row>
    <row r="161" spans="1:7" x14ac:dyDescent="0.15">
      <c r="A161" t="str">
        <f>HYPERLINK("./new_k5/query_cmdrels_weight_analyze/0.3_0.3_0.4/au_589210.xlsx","au_589210")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0.375</v>
      </c>
    </row>
    <row r="162" spans="1:7" x14ac:dyDescent="0.15">
      <c r="A162" t="str">
        <f>HYPERLINK("./new_k5/query_cmdrels_weight_analyze/0.3_0.3_0.4/au_5911.xlsx","au_5911")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HYPERLINK("./new_k5/query_cmdrels_weight_analyze/0.3_0.3_0.4/au_59356.xlsx","au_59356")</f>
        <v>au_59356</v>
      </c>
      <c r="B163">
        <v>0</v>
      </c>
      <c r="C163">
        <v>0</v>
      </c>
      <c r="D163">
        <v>0.16666666666666671</v>
      </c>
      <c r="E163">
        <v>0.16666666666666671</v>
      </c>
      <c r="F163">
        <v>0.16666666666666671</v>
      </c>
      <c r="G163">
        <v>0.16666666666666671</v>
      </c>
    </row>
    <row r="164" spans="1:7" x14ac:dyDescent="0.15">
      <c r="A164" t="str">
        <f>HYPERLINK("./new_k5/query_cmdrels_weight_analyze/0.3_0.3_0.4/au_609850.xlsx","au_609850")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HYPERLINK("./new_k5/query_cmdrels_weight_analyze/0.3_0.3_0.4/au_61408.xlsx","au_61408")</f>
        <v>au_61408</v>
      </c>
      <c r="B165">
        <v>0</v>
      </c>
      <c r="C165">
        <v>0.33333333333333331</v>
      </c>
      <c r="D165">
        <v>0.16666666666666671</v>
      </c>
      <c r="E165">
        <v>0.55555555555555547</v>
      </c>
      <c r="F165">
        <v>0.16666666666666671</v>
      </c>
      <c r="G165">
        <v>0.55555555555555547</v>
      </c>
    </row>
    <row r="166" spans="1:7" x14ac:dyDescent="0.15">
      <c r="A166" t="str">
        <f>HYPERLINK("./new_k5/query_cmdrels_weight_analyze/0.3_0.3_0.4/au_617850.xlsx","au_617850")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HYPERLINK("./new_k5/query_cmdrels_weight_analyze/0.3_0.3_0.4/au_62073.xlsx","au_62073")</f>
        <v>au_62073</v>
      </c>
      <c r="B167">
        <v>0</v>
      </c>
      <c r="C167">
        <v>0.2</v>
      </c>
      <c r="D167">
        <v>0.23333333333333331</v>
      </c>
      <c r="E167">
        <v>0.4</v>
      </c>
      <c r="F167">
        <v>0.23333333333333331</v>
      </c>
      <c r="G167">
        <v>0.71</v>
      </c>
    </row>
    <row r="168" spans="1:7" x14ac:dyDescent="0.15">
      <c r="A168" t="str">
        <f>HYPERLINK("./new_k5/query_cmdrels_weight_analyze/0.3_0.3_0.4/au_620930.xlsx","au_620930")</f>
        <v>au_620930</v>
      </c>
      <c r="B168">
        <v>0.2</v>
      </c>
      <c r="C168">
        <v>0.2</v>
      </c>
      <c r="D168">
        <v>0.4</v>
      </c>
      <c r="E168">
        <v>0.4</v>
      </c>
      <c r="F168">
        <v>0.4</v>
      </c>
      <c r="G168">
        <v>0.55000000000000004</v>
      </c>
    </row>
    <row r="169" spans="1:7" x14ac:dyDescent="0.15">
      <c r="A169" t="str">
        <f>HYPERLINK("./new_k5/query_cmdrels_weight_analyze/0.3_0.3_0.4/au_62492.xlsx","au_62492")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HYPERLINK("./new_k5/query_cmdrels_weight_analyze/0.3_0.3_0.4/au_626078.xlsx","au_626078")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HYPERLINK("./new_k5/query_cmdrels_weight_analyze/0.3_0.3_0.4/au_636944.xlsx","au_636944")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HYPERLINK("./new_k5/query_cmdrels_weight_analyze/0.3_0.3_0.4/au_648603.xlsx","au_648603")</f>
        <v>au_648603</v>
      </c>
      <c r="B172">
        <v>0.25</v>
      </c>
      <c r="C172">
        <v>0.25</v>
      </c>
      <c r="D172">
        <v>0.25</v>
      </c>
      <c r="E172">
        <v>0.25</v>
      </c>
      <c r="F172">
        <v>0.25</v>
      </c>
      <c r="G172">
        <v>0.52500000000000002</v>
      </c>
    </row>
    <row r="173" spans="1:7" x14ac:dyDescent="0.15">
      <c r="A173" t="str">
        <f>HYPERLINK("./new_k5/query_cmdrels_weight_analyze/0.3_0.3_0.4/au_65331.xlsx","au_65331")</f>
        <v>au_65331</v>
      </c>
      <c r="B173">
        <v>0</v>
      </c>
      <c r="C173">
        <v>0.16666666666666671</v>
      </c>
      <c r="D173">
        <v>8.3333333333333329E-2</v>
      </c>
      <c r="E173">
        <v>0.33333333333333331</v>
      </c>
      <c r="F173">
        <v>0.16666666666666671</v>
      </c>
      <c r="G173">
        <v>0.45833333333333331</v>
      </c>
    </row>
    <row r="174" spans="1:7" x14ac:dyDescent="0.15">
      <c r="A174" t="str">
        <f>HYPERLINK("./new_k5/query_cmdrels_weight_analyze/0.3_0.3_0.4/au_66000.xlsx","au_66000")</f>
        <v>au_66000</v>
      </c>
      <c r="B174">
        <v>0</v>
      </c>
      <c r="C174">
        <v>0.2</v>
      </c>
      <c r="D174">
        <v>0</v>
      </c>
      <c r="E174">
        <v>0.33333333333333331</v>
      </c>
      <c r="F174">
        <v>0</v>
      </c>
      <c r="G174">
        <v>0.64333333333333331</v>
      </c>
    </row>
    <row r="175" spans="1:7" x14ac:dyDescent="0.15">
      <c r="A175" t="str">
        <f>HYPERLINK("./new_k5/query_cmdrels_weight_analyze/0.3_0.3_0.4/au_660846.xlsx","au_660846")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HYPERLINK("./new_k5/query_cmdrels_weight_analyze/0.3_0.3_0.4/au_662935.xlsx","au_662935")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0.25</v>
      </c>
    </row>
    <row r="177" spans="1:7" x14ac:dyDescent="0.15">
      <c r="A177" t="str">
        <f>HYPERLINK("./new_k5/query_cmdrels_weight_analyze/0.3_0.3_0.4/au_67663.xlsx","au_67663")</f>
        <v>au_67663</v>
      </c>
      <c r="B177">
        <v>0</v>
      </c>
      <c r="C177">
        <v>0.25</v>
      </c>
      <c r="D177">
        <v>0.29166666666666657</v>
      </c>
      <c r="E177">
        <v>0.75</v>
      </c>
      <c r="F177">
        <v>0.29166666666666657</v>
      </c>
      <c r="G177">
        <v>0.75</v>
      </c>
    </row>
    <row r="178" spans="1:7" x14ac:dyDescent="0.15">
      <c r="A178" t="str">
        <f>HYPERLINK("./new_k5/query_cmdrels_weight_analyze/0.3_0.3_0.4/au_68028.xlsx","au_68028")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0.42857142857142849</v>
      </c>
      <c r="F178">
        <v>0.37142857142857139</v>
      </c>
      <c r="G178">
        <v>0.42857142857142849</v>
      </c>
    </row>
    <row r="179" spans="1:7" x14ac:dyDescent="0.15">
      <c r="A179" t="str">
        <f>HYPERLINK("./new_k5/query_cmdrels_weight_analyze/0.3_0.3_0.4/au_681312.xlsx","au_681312")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0.42857142857142849</v>
      </c>
      <c r="F179">
        <v>0.42857142857142849</v>
      </c>
      <c r="G179">
        <v>0.5714285714285714</v>
      </c>
    </row>
    <row r="180" spans="1:7" x14ac:dyDescent="0.15">
      <c r="A180" t="str">
        <f>HYPERLINK("./new_k5/query_cmdrels_weight_analyze/0.3_0.3_0.4/au_686239.xlsx","au_686239")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HYPERLINK("./new_k5/query_cmdrels_weight_analyze/0.3_0.3_0.4/au_68809.xlsx","au_68809")</f>
        <v>au_68809</v>
      </c>
      <c r="B181">
        <v>0.125</v>
      </c>
      <c r="C181">
        <v>0.125</v>
      </c>
      <c r="D181">
        <v>0.20833333333333329</v>
      </c>
      <c r="E181">
        <v>0.125</v>
      </c>
      <c r="F181">
        <v>0.28333333333333333</v>
      </c>
      <c r="G181">
        <v>0.1875</v>
      </c>
    </row>
    <row r="182" spans="1:7" x14ac:dyDescent="0.15">
      <c r="A182" t="str">
        <f>HYPERLINK("./new_k5/query_cmdrels_weight_analyze/0.3_0.3_0.4/au_69556.xlsx","au_69556")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HYPERLINK("./new_k5/query_cmdrels_weight_analyze/0.3_0.3_0.4/au_698993.xlsx","au_698993")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HYPERLINK("./new_k5/query_cmdrels_weight_analyze/0.3_0.3_0.4/au_707881.xlsx","au_707881")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HYPERLINK("./new_k5/query_cmdrels_weight_analyze/0.3_0.3_0.4/au_709594.xlsx","au_709594")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HYPERLINK("./new_k5/query_cmdrels_weight_analyze/0.3_0.3_0.4/au_71309.xlsx","au_71309")</f>
        <v>au_71309</v>
      </c>
      <c r="B186">
        <v>0.125</v>
      </c>
      <c r="C186">
        <v>0.125</v>
      </c>
      <c r="D186">
        <v>0.20833333333333329</v>
      </c>
      <c r="E186">
        <v>0.20833333333333329</v>
      </c>
      <c r="F186">
        <v>0.20833333333333329</v>
      </c>
      <c r="G186">
        <v>0.30208333333333331</v>
      </c>
    </row>
    <row r="187" spans="1:7" x14ac:dyDescent="0.15">
      <c r="A187" t="str">
        <f>HYPERLINK("./new_k5/query_cmdrels_weight_analyze/0.3_0.3_0.4/au_7138.xlsx","au_7138")</f>
        <v>au_7138</v>
      </c>
      <c r="B187">
        <v>0.25</v>
      </c>
      <c r="C187">
        <v>0</v>
      </c>
      <c r="D187">
        <v>0.75</v>
      </c>
      <c r="E187">
        <v>8.3333333333333329E-2</v>
      </c>
      <c r="F187">
        <v>0.75</v>
      </c>
      <c r="G187">
        <v>0.20833333333333329</v>
      </c>
    </row>
    <row r="188" spans="1:7" x14ac:dyDescent="0.15">
      <c r="A188" t="str">
        <f>HYPERLINK("./new_k5/query_cmdrels_weight_analyze/0.3_0.3_0.4/au_72549.xlsx","au_72549")</f>
        <v>au_72549</v>
      </c>
      <c r="B188">
        <v>0</v>
      </c>
      <c r="C188">
        <v>0</v>
      </c>
      <c r="D188">
        <v>0</v>
      </c>
      <c r="E188">
        <v>8.3333333333333329E-2</v>
      </c>
      <c r="F188">
        <v>0</v>
      </c>
      <c r="G188">
        <v>8.3333333333333329E-2</v>
      </c>
    </row>
    <row r="189" spans="1:7" x14ac:dyDescent="0.15">
      <c r="A189" t="str">
        <f>HYPERLINK("./new_k5/query_cmdrels_weight_analyze/0.3_0.3_0.4/au_740805.xlsx","au_740805")</f>
        <v>au_740805</v>
      </c>
      <c r="B189">
        <v>0.25</v>
      </c>
      <c r="C189">
        <v>0</v>
      </c>
      <c r="D189">
        <v>0.41666666666666657</v>
      </c>
      <c r="E189">
        <v>0.125</v>
      </c>
      <c r="F189">
        <v>0.41666666666666657</v>
      </c>
      <c r="G189">
        <v>0.22500000000000001</v>
      </c>
    </row>
    <row r="190" spans="1:7" x14ac:dyDescent="0.15">
      <c r="A190" t="str">
        <f>HYPERLINK("./new_k5/query_cmdrels_weight_analyze/0.3_0.3_0.4/au_760796.xlsx","au_760796")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HYPERLINK("./new_k5/query_cmdrels_weight_analyze/0.3_0.3_0.4/au_762846.xlsx","au_762846")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0.43333333333333329</v>
      </c>
    </row>
    <row r="192" spans="1:7" x14ac:dyDescent="0.15">
      <c r="A192" t="str">
        <f>HYPERLINK("./new_k5/query_cmdrels_weight_analyze/0.3_0.3_0.4/au_767786.xlsx","au_767786")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0.8</v>
      </c>
    </row>
    <row r="193" spans="1:7" x14ac:dyDescent="0.15">
      <c r="A193" t="str">
        <f>HYPERLINK("./new_k5/query_cmdrels_weight_analyze/0.3_0.3_0.4/au_778906.xlsx","au_778906")</f>
        <v>au_778906</v>
      </c>
      <c r="B193">
        <v>0.2</v>
      </c>
      <c r="C193">
        <v>0.2</v>
      </c>
      <c r="D193">
        <v>0.33333333333333331</v>
      </c>
      <c r="E193">
        <v>0.6</v>
      </c>
      <c r="F193">
        <v>0.33333333333333331</v>
      </c>
      <c r="G193">
        <v>0.6</v>
      </c>
    </row>
    <row r="194" spans="1:7" x14ac:dyDescent="0.15">
      <c r="A194" t="str">
        <f>HYPERLINK("./new_k5/query_cmdrels_weight_analyze/0.3_0.3_0.4/au_818929.xlsx","au_818929")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0.42</v>
      </c>
    </row>
    <row r="195" spans="1:7" x14ac:dyDescent="0.15">
      <c r="A195" t="str">
        <f>HYPERLINK("./new_k5/query_cmdrels_weight_analyze/0.3_0.3_0.4/au_844876.xlsx","au_844876")</f>
        <v>au_844876</v>
      </c>
      <c r="B195">
        <v>0.5</v>
      </c>
      <c r="C195">
        <v>0.5</v>
      </c>
      <c r="D195">
        <v>0.5</v>
      </c>
      <c r="E195">
        <v>1</v>
      </c>
      <c r="F195">
        <v>0.5</v>
      </c>
      <c r="G195">
        <v>1</v>
      </c>
    </row>
    <row r="196" spans="1:7" x14ac:dyDescent="0.15">
      <c r="A196" t="str">
        <f>HYPERLINK("./new_k5/query_cmdrels_weight_analyze/0.3_0.3_0.4/au_85318.xlsx","au_85318")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0.4</v>
      </c>
    </row>
    <row r="197" spans="1:7" x14ac:dyDescent="0.15">
      <c r="A197" t="str">
        <f>HYPERLINK("./new_k5/query_cmdrels_weight_analyze/0.3_0.3_0.4/au_854332.xlsx","au_854332")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HYPERLINK("./new_k5/query_cmdrels_weight_analyze/0.3_0.3_0.4/au_854373.xlsx","au_854373")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HYPERLINK("./new_k5/query_cmdrels_weight_analyze/0.3_0.3_0.4/au_86843.xlsx","au_86843")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HYPERLINK("./new_k5/query_cmdrels_weight_analyze/0.3_0.3_0.4/au_88108.xlsx","au_88108")</f>
        <v>au_88108</v>
      </c>
      <c r="B200">
        <v>0</v>
      </c>
      <c r="C200">
        <v>0</v>
      </c>
      <c r="D200">
        <v>0.1</v>
      </c>
      <c r="E200">
        <v>0.1</v>
      </c>
      <c r="F200">
        <v>0.1</v>
      </c>
      <c r="G200">
        <v>0.18</v>
      </c>
    </row>
    <row r="201" spans="1:7" x14ac:dyDescent="0.15">
      <c r="A201" t="str">
        <f>HYPERLINK("./new_k5/query_cmdrels_weight_analyze/0.3_0.3_0.4/au_90214.xlsx","au_90214")</f>
        <v>au_90214</v>
      </c>
      <c r="B201">
        <v>0</v>
      </c>
      <c r="C201">
        <v>0</v>
      </c>
      <c r="D201">
        <v>0.16666666666666671</v>
      </c>
      <c r="E201">
        <v>0.1111111111111111</v>
      </c>
      <c r="F201">
        <v>0.16666666666666671</v>
      </c>
      <c r="G201">
        <v>0.27777777777777768</v>
      </c>
    </row>
    <row r="202" spans="1:7" x14ac:dyDescent="0.15">
      <c r="A202" t="str">
        <f>HYPERLINK("./new_k5/query_cmdrels_weight_analyze/0.3_0.3_0.4/au_90339.xlsx","au_90339")</f>
        <v>au_90339</v>
      </c>
      <c r="B202">
        <v>0</v>
      </c>
      <c r="C202">
        <v>0</v>
      </c>
      <c r="D202">
        <v>4.7619047619047623E-2</v>
      </c>
      <c r="E202">
        <v>0.16666666666666671</v>
      </c>
      <c r="F202">
        <v>0.2047619047619047</v>
      </c>
      <c r="G202">
        <v>0.16666666666666671</v>
      </c>
    </row>
    <row r="203" spans="1:7" x14ac:dyDescent="0.15">
      <c r="A203" t="str">
        <f>HYPERLINK("./new_k5/query_cmdrels_weight_analyze/0.3_0.3_0.4/au_91286.xlsx","au_91286")</f>
        <v>au_91286</v>
      </c>
      <c r="B203">
        <v>0.5</v>
      </c>
      <c r="C203">
        <v>0</v>
      </c>
      <c r="D203">
        <v>0.5</v>
      </c>
      <c r="E203">
        <v>0.25</v>
      </c>
      <c r="F203">
        <v>0.5</v>
      </c>
      <c r="G203">
        <v>0.25</v>
      </c>
    </row>
    <row r="204" spans="1:7" x14ac:dyDescent="0.15">
      <c r="A204" t="str">
        <f>HYPERLINK("./new_k5/query_cmdrels_weight_analyze/0.3_0.3_0.4/au_9135.xlsx","au_9135")</f>
        <v>au_9135</v>
      </c>
      <c r="B204">
        <v>0.1</v>
      </c>
      <c r="C204">
        <v>0</v>
      </c>
      <c r="D204">
        <v>0.16666666666666671</v>
      </c>
      <c r="E204">
        <v>0.1166666666666667</v>
      </c>
      <c r="F204">
        <v>0.24166666666666661</v>
      </c>
      <c r="G204">
        <v>0.19166666666666671</v>
      </c>
    </row>
    <row r="205" spans="1:7" x14ac:dyDescent="0.15">
      <c r="A205" t="str">
        <f>HYPERLINK("./new_k5/query_cmdrels_weight_analyze/0.3_0.3_0.4/au_935569.xlsx","au_935569")</f>
        <v>au_935569</v>
      </c>
      <c r="B205">
        <v>0.14285714285714279</v>
      </c>
      <c r="C205">
        <v>0.14285714285714279</v>
      </c>
      <c r="D205">
        <v>0.42857142857142849</v>
      </c>
      <c r="E205">
        <v>0.23809523809523811</v>
      </c>
      <c r="F205">
        <v>0.54285714285714282</v>
      </c>
      <c r="G205">
        <v>0.23809523809523811</v>
      </c>
    </row>
    <row r="206" spans="1:7" x14ac:dyDescent="0.15">
      <c r="A206" t="str">
        <f>HYPERLINK("./new_k5/query_cmdrels_weight_analyze/0.3_0.3_0.4/au_97936.xlsx","au_97936")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HYPERLINK("./new_k5/query_cmdrels_weight_analyze/0.3_0.3_0.4/so_10235778.xlsx","so_10235778")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HYPERLINK("./new_k5/query_cmdrels_weight_analyze/0.3_0.3_0.4/so_1045910.xlsx","so_1045910")</f>
        <v>so_1045910</v>
      </c>
      <c r="B208">
        <v>0.25</v>
      </c>
      <c r="C208">
        <v>0</v>
      </c>
      <c r="D208">
        <v>0.25</v>
      </c>
      <c r="E208">
        <v>0.29166666666666657</v>
      </c>
      <c r="F208">
        <v>0.25</v>
      </c>
      <c r="G208">
        <v>0.29166666666666657</v>
      </c>
    </row>
    <row r="209" spans="1:7" x14ac:dyDescent="0.15">
      <c r="A209" t="str">
        <f>HYPERLINK("./new_k5/query_cmdrels_weight_analyze/0.3_0.3_0.4/so_10557360.xlsx","so_10557360")</f>
        <v>so_10557360</v>
      </c>
      <c r="B209">
        <v>0</v>
      </c>
      <c r="C209">
        <v>0</v>
      </c>
      <c r="D209">
        <v>0</v>
      </c>
      <c r="E209">
        <v>6.6666666666666666E-2</v>
      </c>
      <c r="F209">
        <v>0</v>
      </c>
      <c r="G209">
        <v>6.6666666666666666E-2</v>
      </c>
    </row>
    <row r="210" spans="1:7" x14ac:dyDescent="0.15">
      <c r="A210" t="str">
        <f>HYPERLINK("./new_k5/query_cmdrels_weight_analyze/0.3_0.3_0.4/so_1058047.xlsx","so_1058047")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0.375</v>
      </c>
    </row>
    <row r="211" spans="1:7" x14ac:dyDescent="0.15">
      <c r="A211" t="str">
        <f>HYPERLINK("./new_k5/query_cmdrels_weight_analyze/0.3_0.3_0.4/so_10829402.xlsx","so_10829402")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HYPERLINK("./new_k5/query_cmdrels_weight_analyze/0.3_0.3_0.4/so_1088098.xlsx","so_1088098")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0.25</v>
      </c>
    </row>
    <row r="213" spans="1:7" x14ac:dyDescent="0.15">
      <c r="A213" t="str">
        <f>HYPERLINK("./new_k5/query_cmdrels_weight_analyze/0.3_0.3_0.4/so_10990949.xlsx","so_10990949")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0.7</v>
      </c>
    </row>
    <row r="214" spans="1:7" x14ac:dyDescent="0.15">
      <c r="A214" t="str">
        <f>HYPERLINK("./new_k5/query_cmdrels_weight_analyze/0.3_0.3_0.4/so_11211705.xlsx","so_11211705")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HYPERLINK("./new_k5/query_cmdrels_weight_analyze/0.3_0.3_0.4/so_112932.xlsx","so_112932")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HYPERLINK("./new_k5/query_cmdrels_weight_analyze/0.3_0.3_0.4/so_11392189.xlsx","so_11392189")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8.3333333333333329E-2</v>
      </c>
    </row>
    <row r="217" spans="1:7" x14ac:dyDescent="0.15">
      <c r="A217" t="str">
        <f>HYPERLINK("./new_k5/query_cmdrels_weight_analyze/0.3_0.3_0.4/so_1183183.xlsx","so_1183183")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HYPERLINK("./new_k5/query_cmdrels_weight_analyze/0.3_0.3_0.4/so_1194882.xlsx","so_1194882")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HYPERLINK("./new_k5/query_cmdrels_weight_analyze/0.3_0.3_0.4/so_12120935.xlsx","so_12120935")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HYPERLINK("./new_k5/query_cmdrels_weight_analyze/0.3_0.3_0.4/so_12313384.xlsx","so_12313384")</f>
        <v>so_12313384</v>
      </c>
      <c r="B220">
        <v>0</v>
      </c>
      <c r="C220">
        <v>0.33333333333333331</v>
      </c>
      <c r="D220">
        <v>0.16666666666666671</v>
      </c>
      <c r="E220">
        <v>0.66666666666666663</v>
      </c>
      <c r="F220">
        <v>0.16666666666666671</v>
      </c>
      <c r="G220">
        <v>0.66666666666666663</v>
      </c>
    </row>
    <row r="221" spans="1:7" x14ac:dyDescent="0.15">
      <c r="A221" t="str">
        <f>HYPERLINK("./new_k5/query_cmdrels_weight_analyze/0.3_0.3_0.4/so_12392598.xlsx","so_12392598")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0.42857142857142849</v>
      </c>
      <c r="F221">
        <v>0.2857142857142857</v>
      </c>
      <c r="G221">
        <v>0.54285714285714282</v>
      </c>
    </row>
    <row r="222" spans="1:7" x14ac:dyDescent="0.15">
      <c r="A222" t="str">
        <f>HYPERLINK("./new_k5/query_cmdrels_weight_analyze/0.3_0.3_0.4/so_1241801.xlsx","so_1241801")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HYPERLINK("./new_k5/query_cmdrels_weight_analyze/0.3_0.3_0.4/so_12522269.xlsx","so_12522269")</f>
        <v>so_12522269</v>
      </c>
      <c r="B223">
        <v>0.2</v>
      </c>
      <c r="C223">
        <v>0</v>
      </c>
      <c r="D223">
        <v>0.2</v>
      </c>
      <c r="E223">
        <v>0.1</v>
      </c>
      <c r="F223">
        <v>0.28000000000000003</v>
      </c>
      <c r="G223">
        <v>0.1</v>
      </c>
    </row>
    <row r="224" spans="1:7" x14ac:dyDescent="0.15">
      <c r="A224" t="str">
        <f>HYPERLINK("./new_k5/query_cmdrels_weight_analyze/0.3_0.3_0.4/so_1293907.xlsx","so_1293907")</f>
        <v>so_1293907</v>
      </c>
      <c r="B224">
        <v>0</v>
      </c>
      <c r="C224">
        <v>0.33333333333333331</v>
      </c>
      <c r="D224">
        <v>0</v>
      </c>
      <c r="E224">
        <v>0.55555555555555547</v>
      </c>
      <c r="F224">
        <v>8.3333333333333329E-2</v>
      </c>
      <c r="G224">
        <v>0.75555555555555554</v>
      </c>
    </row>
    <row r="225" spans="1:7" x14ac:dyDescent="0.15">
      <c r="A225" t="str">
        <f>HYPERLINK("./new_k5/query_cmdrels_weight_analyze/0.3_0.3_0.4/so_13428910.xlsx","so_13428910")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HYPERLINK("./new_k5/query_cmdrels_weight_analyze/0.3_0.3_0.4/so_135688.xlsx","so_135688")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HYPERLINK("./new_k5/query_cmdrels_weight_analyze/0.3_0.3_0.4/so_13778273.xlsx","so_13778273")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HYPERLINK("./new_k5/query_cmdrels_weight_analyze/0.3_0.3_0.4/so_1405611.xlsx","so_1405611")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</v>
      </c>
      <c r="F228">
        <v>0.33333333333333331</v>
      </c>
      <c r="G228">
        <v>6.6666666666666666E-2</v>
      </c>
    </row>
    <row r="229" spans="1:7" x14ac:dyDescent="0.15">
      <c r="A229" t="str">
        <f>HYPERLINK("./new_k5/query_cmdrels_weight_analyze/0.3_0.3_0.4/so_14300794.xlsx","so_14300794")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HYPERLINK("./new_k5/query_cmdrels_weight_analyze/0.3_0.3_0.4/so_143791.xlsx","so_143791")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HYPERLINK("./new_k5/query_cmdrels_weight_analyze/0.3_0.3_0.4/so_14750650.xlsx","so_14750650")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0.05</v>
      </c>
    </row>
    <row r="232" spans="1:7" x14ac:dyDescent="0.15">
      <c r="A232" t="str">
        <f>HYPERLINK("./new_k5/query_cmdrels_weight_analyze/0.3_0.3_0.4/so_14978411.xlsx","so_14978411")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HYPERLINK("./new_k5/query_cmdrels_weight_analyze/0.3_0.3_0.4/so_15236308.xlsx","so_15236308")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HYPERLINK("./new_k5/query_cmdrels_weight_analyze/0.3_0.3_0.4/so_15286947.xlsx","so_15286947")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HYPERLINK("./new_k5/query_cmdrels_weight_analyze/0.3_0.3_0.4/so_15402770.xlsx","so_15402770")</f>
        <v>so_15402770</v>
      </c>
      <c r="B235">
        <v>0</v>
      </c>
      <c r="C235">
        <v>0</v>
      </c>
      <c r="D235">
        <v>0.19444444444444439</v>
      </c>
      <c r="E235">
        <v>0.19444444444444439</v>
      </c>
      <c r="F235">
        <v>0.19444444444444439</v>
      </c>
      <c r="G235">
        <v>0.31944444444444442</v>
      </c>
    </row>
    <row r="236" spans="1:7" x14ac:dyDescent="0.15">
      <c r="A236" t="str">
        <f>HYPERLINK("./new_k5/query_cmdrels_weight_analyze/0.3_0.3_0.4/so_1570262.xlsx","so_1570262")</f>
        <v>so_1570262</v>
      </c>
      <c r="B236">
        <v>0</v>
      </c>
      <c r="C236">
        <v>0</v>
      </c>
      <c r="D236">
        <v>0</v>
      </c>
      <c r="E236">
        <v>6.6666666666666666E-2</v>
      </c>
      <c r="F236">
        <v>0</v>
      </c>
      <c r="G236">
        <v>0.1466666666666667</v>
      </c>
    </row>
    <row r="237" spans="1:7" x14ac:dyDescent="0.15">
      <c r="A237" t="str">
        <f>HYPERLINK("./new_k5/query_cmdrels_weight_analyze/0.3_0.3_0.4/so_1583219.xlsx","so_1583219")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HYPERLINK("./new_k5/query_cmdrels_weight_analyze/0.3_0.3_0.4/so_15872543.xlsx","so_15872543")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HYPERLINK("./new_k5/query_cmdrels_weight_analyze/0.3_0.3_0.4/so_16038087.xlsx","so_16038087")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0.5714285714285714</v>
      </c>
    </row>
    <row r="240" spans="1:7" x14ac:dyDescent="0.15">
      <c r="A240" t="str">
        <f>HYPERLINK("./new_k5/query_cmdrels_weight_analyze/0.3_0.3_0.4/so_16212656.xlsx","so_16212656")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HYPERLINK("./new_k5/query_cmdrels_weight_analyze/0.3_0.3_0.4/so_16575419.xlsx","so_16575419")</f>
        <v>so_16575419</v>
      </c>
      <c r="B241">
        <v>0.25</v>
      </c>
      <c r="C241">
        <v>0.25</v>
      </c>
      <c r="D241">
        <v>0.25</v>
      </c>
      <c r="E241">
        <v>0.5</v>
      </c>
      <c r="F241">
        <v>0.25</v>
      </c>
      <c r="G241">
        <v>0.6875</v>
      </c>
    </row>
    <row r="242" spans="1:7" x14ac:dyDescent="0.15">
      <c r="A242" t="str">
        <f>HYPERLINK("./new_k5/query_cmdrels_weight_analyze/0.3_0.3_0.4/so_17582768.xlsx","so_17582768")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6.6666666666666666E-2</v>
      </c>
    </row>
    <row r="243" spans="1:7" x14ac:dyDescent="0.15">
      <c r="A243" t="str">
        <f>HYPERLINK("./new_k5/query_cmdrels_weight_analyze/0.3_0.3_0.4/so_17607612.xlsx","so_17607612")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HYPERLINK("./new_k5/query_cmdrels_weight_analyze/0.3_0.3_0.4/so_17829785.xlsx","so_17829785")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HYPERLINK("./new_k5/query_cmdrels_weight_analyze/0.3_0.3_0.4/so_1839841.xlsx","so_1839841")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HYPERLINK("./new_k5/query_cmdrels_weight_analyze/0.3_0.3_0.4/so_18468716.xlsx","so_18468716")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0.46666666666666662</v>
      </c>
    </row>
    <row r="247" spans="1:7" x14ac:dyDescent="0.15">
      <c r="A247" t="str">
        <f>HYPERLINK("./new_k5/query_cmdrels_weight_analyze/0.3_0.3_0.4/so_19196105.xlsx","so_19196105")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HYPERLINK("./new_k5/query_cmdrels_weight_analyze/0.3_0.3_0.4/so_19482123.xlsx","so_19482123")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HYPERLINK("./new_k5/query_cmdrels_weight_analyze/0.3_0.3_0.4/so_1975849.xlsx","so_1975849")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HYPERLINK("./new_k5/query_cmdrels_weight_analyze/0.3_0.3_0.4/so_212528.xlsx","so_212528")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0.45833333333333331</v>
      </c>
    </row>
    <row r="251" spans="1:7" x14ac:dyDescent="0.15">
      <c r="A251" t="str">
        <f>HYPERLINK("./new_k5/query_cmdrels_weight_analyze/0.3_0.3_0.4/so_21620406.xlsx","so_21620406")</f>
        <v>so_21620406</v>
      </c>
      <c r="B251">
        <v>0</v>
      </c>
      <c r="C251">
        <v>0</v>
      </c>
      <c r="D251">
        <v>0.1111111111111111</v>
      </c>
      <c r="E251">
        <v>0.1111111111111111</v>
      </c>
      <c r="F251">
        <v>0.1111111111111111</v>
      </c>
      <c r="G251">
        <v>0.1111111111111111</v>
      </c>
    </row>
    <row r="252" spans="1:7" x14ac:dyDescent="0.15">
      <c r="A252" t="str">
        <f>HYPERLINK("./new_k5/query_cmdrels_weight_analyze/0.3_0.3_0.4/so_23509348.xlsx","so_23509348")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HYPERLINK("./new_k5/query_cmdrels_weight_analyze/0.3_0.3_0.4/so_24058544.xlsx","so_24058544")</f>
        <v>so_24058544</v>
      </c>
      <c r="B253">
        <v>0.2</v>
      </c>
      <c r="C253">
        <v>0</v>
      </c>
      <c r="D253">
        <v>0.2</v>
      </c>
      <c r="E253">
        <v>0.1</v>
      </c>
      <c r="F253">
        <v>0.2</v>
      </c>
      <c r="G253">
        <v>0.1</v>
      </c>
    </row>
    <row r="254" spans="1:7" x14ac:dyDescent="0.15">
      <c r="A254" t="str">
        <f>HYPERLINK("./new_k5/query_cmdrels_weight_analyze/0.3_0.3_0.4/so_24283097.xlsx","so_24283097")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HYPERLINK("./new_k5/query_cmdrels_weight_analyze/0.3_0.3_0.4/so_26256279.xlsx","so_26256279")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HYPERLINK("./new_k5/query_cmdrels_weight_analyze/0.3_0.3_0.4/so_26331651.xlsx","so_26331651")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HYPERLINK("./new_k5/query_cmdrels_weight_analyze/0.3_0.3_0.4/so_26988262.xlsx","so_26988262")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HYPERLINK("./new_k5/query_cmdrels_weight_analyze/0.3_0.3_0.4/so_27238411.xlsx","so_27238411")</f>
        <v>so_27238411</v>
      </c>
      <c r="B258">
        <v>0.2</v>
      </c>
      <c r="C258">
        <v>0.2</v>
      </c>
      <c r="D258">
        <v>0.6</v>
      </c>
      <c r="E258">
        <v>0.6</v>
      </c>
      <c r="F258">
        <v>0.6</v>
      </c>
      <c r="G258">
        <v>0.6</v>
      </c>
    </row>
    <row r="259" spans="1:7" x14ac:dyDescent="0.15">
      <c r="A259" t="str">
        <f>HYPERLINK("./new_k5/query_cmdrels_weight_analyze/0.3_0.3_0.4/so_27943059.xlsx","so_27943059")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0.55555555555555547</v>
      </c>
      <c r="F259">
        <v>0.16666666666666671</v>
      </c>
      <c r="G259">
        <v>0.55555555555555547</v>
      </c>
    </row>
    <row r="260" spans="1:7" x14ac:dyDescent="0.15">
      <c r="A260" t="str">
        <f>HYPERLINK("./new_k5/query_cmdrels_weight_analyze/0.3_0.3_0.4/so_28869004.xlsx","so_28869004")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0.5</v>
      </c>
    </row>
    <row r="261" spans="1:7" x14ac:dyDescent="0.15">
      <c r="A261" t="str">
        <f>HYPERLINK("./new_k5/query_cmdrels_weight_analyze/0.3_0.3_0.4/so_2973624.xlsx","so_2973624")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0.55555555555555547</v>
      </c>
      <c r="F261">
        <v>0.66666666666666663</v>
      </c>
      <c r="G261">
        <v>0.80555555555555547</v>
      </c>
    </row>
    <row r="262" spans="1:7" x14ac:dyDescent="0.15">
      <c r="A262" t="str">
        <f>HYPERLINK("./new_k5/query_cmdrels_weight_analyze/0.3_0.3_0.4/so_30177455.xlsx","so_30177455")</f>
        <v>so_30177455</v>
      </c>
      <c r="B262">
        <v>0</v>
      </c>
      <c r="C262">
        <v>0</v>
      </c>
      <c r="D262">
        <v>0.16666666666666671</v>
      </c>
      <c r="E262">
        <v>0.1111111111111111</v>
      </c>
      <c r="F262">
        <v>0.16666666666666671</v>
      </c>
      <c r="G262">
        <v>0.1111111111111111</v>
      </c>
    </row>
    <row r="263" spans="1:7" x14ac:dyDescent="0.15">
      <c r="A263" t="str">
        <f>HYPERLINK("./new_k5/query_cmdrels_weight_analyze/0.3_0.3_0.4/so_30251889.xlsx","so_30251889")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0.6791666666666667</v>
      </c>
    </row>
    <row r="264" spans="1:7" x14ac:dyDescent="0.15">
      <c r="A264" t="str">
        <f>HYPERLINK("./new_k5/query_cmdrels_weight_analyze/0.3_0.3_0.4/so_305035.xlsx","so_305035")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HYPERLINK("./new_k5/query_cmdrels_weight_analyze/0.3_0.3_0.4/so_36249744.xlsx","so_36249744")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HYPERLINK("./new_k5/query_cmdrels_weight_analyze/0.3_0.3_0.4/so_3643848.xlsx","so_3643848")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HYPERLINK("./new_k5/query_cmdrels_weight_analyze/0.3_0.3_0.4/so_3667329.xlsx","so_3667329")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HYPERLINK("./new_k5/query_cmdrels_weight_analyze/0.3_0.3_0.4/so_369758.xlsx","so_369758")</f>
        <v>so_369758</v>
      </c>
      <c r="B268">
        <v>0.2</v>
      </c>
      <c r="C268">
        <v>0.2</v>
      </c>
      <c r="D268">
        <v>0.4</v>
      </c>
      <c r="E268">
        <v>0.33333333333333331</v>
      </c>
      <c r="F268">
        <v>0.4</v>
      </c>
      <c r="G268">
        <v>0.48333333333333328</v>
      </c>
    </row>
    <row r="269" spans="1:7" x14ac:dyDescent="0.15">
      <c r="A269" t="str">
        <f>HYPERLINK("./new_k5/query_cmdrels_weight_analyze/0.3_0.3_0.4/so_3756323.xlsx","so_3756323")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</v>
      </c>
    </row>
    <row r="270" spans="1:7" x14ac:dyDescent="0.15">
      <c r="A270" t="str">
        <f>HYPERLINK("./new_k5/query_cmdrels_weight_analyze/0.3_0.3_0.4/so_3767267.xlsx","so_3767267")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HYPERLINK("./new_k5/query_cmdrels_weight_analyze/0.3_0.3_0.4/so_3833578.xlsx","so_3833578")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HYPERLINK("./new_k5/query_cmdrels_weight_analyze/0.3_0.3_0.4/so_3891076.xlsx","so_3891076")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0.52500000000000002</v>
      </c>
    </row>
    <row r="273" spans="1:7" x14ac:dyDescent="0.15">
      <c r="A273" t="str">
        <f>HYPERLINK("./new_k5/query_cmdrels_weight_analyze/0.3_0.3_0.4/so_3963085.xlsx","so_3963085")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HYPERLINK("./new_k5/query_cmdrels_weight_analyze/0.3_0.3_0.4/so_4325216.xlsx","so_4325216")</f>
        <v>so_4325216</v>
      </c>
      <c r="B274">
        <v>0.5</v>
      </c>
      <c r="C274">
        <v>0.5</v>
      </c>
      <c r="D274">
        <v>0.5</v>
      </c>
      <c r="E274">
        <v>1</v>
      </c>
      <c r="F274">
        <v>0.5</v>
      </c>
      <c r="G274">
        <v>1</v>
      </c>
    </row>
    <row r="275" spans="1:7" x14ac:dyDescent="0.15">
      <c r="A275" t="str">
        <f>HYPERLINK("./new_k5/query_cmdrels_weight_analyze/0.3_0.3_0.4/so_448005.xlsx","so_448005")</f>
        <v>so_448005</v>
      </c>
      <c r="B275">
        <v>1</v>
      </c>
      <c r="C275">
        <v>0</v>
      </c>
      <c r="D275">
        <v>1</v>
      </c>
      <c r="E275">
        <v>0.5</v>
      </c>
      <c r="F275">
        <v>1</v>
      </c>
      <c r="G275">
        <v>0.5</v>
      </c>
    </row>
    <row r="276" spans="1:7" x14ac:dyDescent="0.15">
      <c r="A276" t="str">
        <f>HYPERLINK("./new_k5/query_cmdrels_weight_analyze/0.3_0.3_0.4/so_4921879.xlsx","so_4921879")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HYPERLINK("./new_k5/query_cmdrels_weight_analyze/0.3_0.3_0.4/so_4922943.xlsx","so_4922943")</f>
        <v>so_4922943</v>
      </c>
      <c r="B277">
        <v>0.2</v>
      </c>
      <c r="C277">
        <v>0.2</v>
      </c>
      <c r="D277">
        <v>0.33333333333333331</v>
      </c>
      <c r="E277">
        <v>0.33333333333333331</v>
      </c>
      <c r="F277">
        <v>0.33333333333333331</v>
      </c>
      <c r="G277">
        <v>0.33333333333333331</v>
      </c>
    </row>
    <row r="278" spans="1:7" x14ac:dyDescent="0.15">
      <c r="A278" t="str">
        <f>HYPERLINK("./new_k5/query_cmdrels_weight_analyze/0.3_0.3_0.4/so_5119946.xlsx","so_5119946")</f>
        <v>so_5119946</v>
      </c>
      <c r="B278">
        <v>0.5</v>
      </c>
      <c r="C278">
        <v>0</v>
      </c>
      <c r="D278">
        <v>0.5</v>
      </c>
      <c r="E278">
        <v>0.58333333333333326</v>
      </c>
      <c r="F278">
        <v>0.5</v>
      </c>
      <c r="G278">
        <v>0.58333333333333326</v>
      </c>
    </row>
    <row r="279" spans="1:7" x14ac:dyDescent="0.15">
      <c r="A279" t="str">
        <f>HYPERLINK("./new_k5/query_cmdrels_weight_analyze/0.3_0.3_0.4/so_5164985.xlsx","so_5164985")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HYPERLINK("./new_k5/query_cmdrels_weight_analyze/0.3_0.3_0.4/so_5306153.xlsx","so_5306153")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HYPERLINK("./new_k5/query_cmdrels_weight_analyze/0.3_0.3_0.4/so_5566310.xlsx","so_5566310")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HYPERLINK("./new_k5/query_cmdrels_weight_analyze/0.3_0.3_0.4/so_5927369.xlsx","so_5927369")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HYPERLINK("./new_k5/query_cmdrels_weight_analyze/0.3_0.3_0.4/so_5947742.xlsx","so_5947742")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HYPERLINK("./new_k5/query_cmdrels_weight_analyze/0.3_0.3_0.4/so_614795.xlsx","so_614795")</f>
        <v>so_614795</v>
      </c>
      <c r="B284">
        <v>0</v>
      </c>
      <c r="C284">
        <v>0</v>
      </c>
      <c r="D284">
        <v>0</v>
      </c>
      <c r="E284">
        <v>0.16666666666666671</v>
      </c>
      <c r="F284">
        <v>0</v>
      </c>
      <c r="G284">
        <v>0.16666666666666671</v>
      </c>
    </row>
    <row r="285" spans="1:7" x14ac:dyDescent="0.15">
      <c r="A285" t="str">
        <f>HYPERLINK("./new_k5/query_cmdrels_weight_analyze/0.3_0.3_0.4/so_6207573.xlsx","so_6207573")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0.42857142857142849</v>
      </c>
      <c r="F285">
        <v>0.37142857142857139</v>
      </c>
      <c r="G285">
        <v>0.42857142857142849</v>
      </c>
    </row>
    <row r="286" spans="1:7" x14ac:dyDescent="0.15">
      <c r="A286" t="str">
        <f>HYPERLINK("./new_k5/query_cmdrels_weight_analyze/0.3_0.3_0.4/so_6283167.xlsx","so_6283167")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HYPERLINK("./new_k5/query_cmdrels_weight_analyze/0.3_0.3_0.4/so_6329505.xlsx","so_6329505")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HYPERLINK("./new_k5/query_cmdrels_weight_analyze/0.3_0.3_0.4/so_6423532.xlsx","so_6423532")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HYPERLINK("./new_k5/query_cmdrels_weight_analyze/0.3_0.3_0.4/so_669438.xlsx","so_669438")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0.45333333333333331</v>
      </c>
    </row>
    <row r="290" spans="1:7" x14ac:dyDescent="0.15">
      <c r="A290" t="str">
        <f>HYPERLINK("./new_k5/query_cmdrels_weight_analyze/0.3_0.3_0.4/so_7052875.xlsx","so_7052875")</f>
        <v>so_7052875</v>
      </c>
      <c r="B290">
        <v>0.2</v>
      </c>
      <c r="C290">
        <v>0.2</v>
      </c>
      <c r="D290">
        <v>0.2</v>
      </c>
      <c r="E290">
        <v>0.2</v>
      </c>
      <c r="F290">
        <v>0.2</v>
      </c>
      <c r="G290">
        <v>0.3</v>
      </c>
    </row>
    <row r="291" spans="1:7" x14ac:dyDescent="0.15">
      <c r="A291" t="str">
        <f>HYPERLINK("./new_k5/query_cmdrels_weight_analyze/0.3_0.3_0.4/so_7221757.xlsx","so_7221757")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HYPERLINK("./new_k5/query_cmdrels_weight_analyze/0.3_0.3_0.4/so_750604.xlsx","so_750604")</f>
        <v>so_750604</v>
      </c>
      <c r="B292">
        <v>0</v>
      </c>
      <c r="C292">
        <v>0</v>
      </c>
      <c r="D292">
        <v>0.1111111111111111</v>
      </c>
      <c r="E292">
        <v>0.16666666666666671</v>
      </c>
      <c r="F292">
        <v>0.1111111111111111</v>
      </c>
      <c r="G292">
        <v>0.33333333333333331</v>
      </c>
    </row>
    <row r="293" spans="1:7" x14ac:dyDescent="0.15">
      <c r="A293" t="str">
        <f>HYPERLINK("./new_k5/query_cmdrels_weight_analyze/0.3_0.3_0.4/so_7575267.xlsx","so_7575267")</f>
        <v>so_7575267</v>
      </c>
      <c r="B293">
        <v>0</v>
      </c>
      <c r="C293">
        <v>0.25</v>
      </c>
      <c r="D293">
        <v>0</v>
      </c>
      <c r="E293">
        <v>0.75</v>
      </c>
      <c r="F293">
        <v>0</v>
      </c>
      <c r="G293">
        <v>0.75</v>
      </c>
    </row>
    <row r="294" spans="1:7" x14ac:dyDescent="0.15">
      <c r="A294" t="str">
        <f>HYPERLINK("./new_k5/query_cmdrels_weight_analyze/0.3_0.3_0.4/so_7698488.xlsx","so_7698488")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0.16250000000000001</v>
      </c>
    </row>
    <row r="295" spans="1:7" x14ac:dyDescent="0.15">
      <c r="A295" t="str">
        <f>HYPERLINK("./new_k5/query_cmdrels_weight_analyze/0.3_0.3_0.4/so_801095.xlsx","so_801095")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0.33333333333333331</v>
      </c>
      <c r="F295">
        <v>0.33333333333333331</v>
      </c>
      <c r="G295">
        <v>0.70000000000000007</v>
      </c>
    </row>
    <row r="296" spans="1:7" x14ac:dyDescent="0.15">
      <c r="A296" t="str">
        <f>HYPERLINK("./new_k5/query_cmdrels_weight_analyze/0.3_0.3_0.4/so_8249705.xlsx","so_8249705")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HYPERLINK("./new_k5/query_cmdrels_weight_analyze/0.3_0.3_0.4/so_8423541.xlsx","so_8423541")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HYPERLINK("./new_k5/query_cmdrels_weight_analyze/0.3_0.3_0.4/so_8654051.xlsx","so_8654051")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HYPERLINK("./new_k5/query_cmdrels_weight_analyze/0.3_0.3_0.4/so_890262.xlsx","so_890262")</f>
        <v>so_890262</v>
      </c>
      <c r="B299">
        <v>0</v>
      </c>
      <c r="C299">
        <v>0</v>
      </c>
      <c r="D299">
        <v>0</v>
      </c>
      <c r="E299">
        <v>0.38888888888888878</v>
      </c>
      <c r="F299">
        <v>0</v>
      </c>
      <c r="G299">
        <v>0.38888888888888878</v>
      </c>
    </row>
    <row r="300" spans="1:7" x14ac:dyDescent="0.15">
      <c r="A300" t="str">
        <f>HYPERLINK("./new_k5/query_cmdrels_weight_analyze/0.3_0.3_0.4/so_893585.xlsx","so_893585")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HYPERLINK("./new_k5/query_cmdrels_weight_analyze/0.3_0.3_0.4/so_9223460.xlsx","so_9223460")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HYPERLINK("./new_k5/query_cmdrels_weight_analyze/0.3_0.3_0.4/so_9245638.xlsx","so_9245638")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HYPERLINK("./new_k5/query_cmdrels_weight_analyze/0.3_0.3_0.4/so_9304953.xlsx","so_9304953")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HYPERLINK("./new_k5/query_cmdrels_weight_analyze/0.3_0.3_0.4/so_9361816.xlsx","so_9361816")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HYPERLINK("./new_k5/query_cmdrels_weight_analyze/0.3_0.3_0.4/su_116617.xlsx","su_116617")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HYPERLINK("./new_k5/query_cmdrels_weight_analyze/0.3_0.3_0.4/su_120045.xlsx","su_120045")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HYPERLINK("./new_k5/query_cmdrels_weight_analyze/0.3_0.3_0.4/su_127863.xlsx","su_127863")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HYPERLINK("./new_k5/query_cmdrels_weight_analyze/0.3_0.3_0.4/su_135498.xlsx","su_135498")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HYPERLINK("./new_k5/query_cmdrels_weight_analyze/0.3_0.3_0.4/su_147027.xlsx","su_147027")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HYPERLINK("./new_k5/query_cmdrels_weight_analyze/0.3_0.3_0.4/su_151911.xlsx","su_151911")</f>
        <v>su_151911</v>
      </c>
      <c r="B310">
        <v>0</v>
      </c>
      <c r="C310">
        <v>0</v>
      </c>
      <c r="D310">
        <v>0</v>
      </c>
      <c r="E310">
        <v>8.3333333333333329E-2</v>
      </c>
      <c r="F310">
        <v>0</v>
      </c>
      <c r="G310">
        <v>8.3333333333333329E-2</v>
      </c>
    </row>
    <row r="311" spans="1:7" x14ac:dyDescent="0.15">
      <c r="A311" t="str">
        <f>HYPERLINK("./new_k5/query_cmdrels_weight_analyze/0.3_0.3_0.4/su_153415.xlsx","su_153415")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HYPERLINK("./new_k5/query_cmdrels_weight_analyze/0.3_0.3_0.4/su_156189.xlsx","su_156189")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0.37777777777777782</v>
      </c>
    </row>
    <row r="313" spans="1:7" x14ac:dyDescent="0.15">
      <c r="A313" t="str">
        <f>HYPERLINK("./new_k5/query_cmdrels_weight_analyze/0.3_0.3_0.4/su_161531.xlsx","su_161531")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HYPERLINK("./new_k5/query_cmdrels_weight_analyze/0.3_0.3_0.4/su_204209.xlsx","su_204209")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HYPERLINK("./new_k5/query_cmdrels_weight_analyze/0.3_0.3_0.4/su_214390.xlsx","su_214390")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HYPERLINK("./new_k5/query_cmdrels_weight_analyze/0.3_0.3_0.4/su_215483.xlsx","su_215483")</f>
        <v>su_215483</v>
      </c>
      <c r="B316">
        <v>0.5</v>
      </c>
      <c r="C316">
        <v>0.5</v>
      </c>
      <c r="D316">
        <v>1</v>
      </c>
      <c r="E316">
        <v>0.83333333333333326</v>
      </c>
      <c r="F316">
        <v>1</v>
      </c>
      <c r="G316">
        <v>0.83333333333333326</v>
      </c>
    </row>
    <row r="317" spans="1:7" x14ac:dyDescent="0.15">
      <c r="A317" t="str">
        <f>HYPERLINK("./new_k5/query_cmdrels_weight_analyze/0.3_0.3_0.4/su_215504.xlsx","su_215504")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0.47916666666666657</v>
      </c>
    </row>
    <row r="318" spans="1:7" x14ac:dyDescent="0.15">
      <c r="A318" t="str">
        <f>HYPERLINK("./new_k5/query_cmdrels_weight_analyze/0.3_0.3_0.4/su_227385.xlsx","su_227385")</f>
        <v>su_227385</v>
      </c>
      <c r="B318">
        <v>0</v>
      </c>
      <c r="C318">
        <v>0</v>
      </c>
      <c r="D318">
        <v>0</v>
      </c>
      <c r="E318">
        <v>0.29166666666666657</v>
      </c>
      <c r="F318">
        <v>0</v>
      </c>
      <c r="G318">
        <v>0.6791666666666667</v>
      </c>
    </row>
    <row r="319" spans="1:7" x14ac:dyDescent="0.15">
      <c r="A319" t="str">
        <f>HYPERLINK("./new_k5/query_cmdrels_weight_analyze/0.3_0.3_0.4/su_273254.xlsx","su_273254")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HYPERLINK("./new_k5/query_cmdrels_weight_analyze/0.3_0.3_0.4/su_294161.xlsx","su_294161")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HYPERLINK("./new_k5/query_cmdrels_weight_analyze/0.3_0.3_0.4/su_302396.xlsx","su_302396")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HYPERLINK("./new_k5/query_cmdrels_weight_analyze/0.3_0.3_0.4/su_303981.xlsx","su_303981")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HYPERLINK("./new_k5/query_cmdrels_weight_analyze/0.3_0.3_0.4/su_305128.xlsx","su_305128")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HYPERLINK("./new_k5/query_cmdrels_weight_analyze/0.3_0.3_0.4/su_31512.xlsx","su_31512")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HYPERLINK("./new_k5/query_cmdrels_weight_analyze/0.3_0.3_0.4/su_380520.xlsx","su_380520")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</v>
      </c>
    </row>
    <row r="326" spans="1:7" x14ac:dyDescent="0.15">
      <c r="A326" t="str">
        <f>HYPERLINK("./new_k5/query_cmdrels_weight_analyze/0.3_0.3_0.4/su_38981.xlsx","su_38981")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HYPERLINK("./new_k5/query_cmdrels_weight_analyze/0.3_0.3_0.4/su_437330.xlsx","su_437330")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HYPERLINK("./new_k5/query_cmdrels_weight_analyze/0.3_0.3_0.4/su_441379.xlsx","su_441379")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HYPERLINK("./new_k5/query_cmdrels_weight_analyze/0.3_0.3_0.4/su_462788.xlsx","su_462788")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0.22222222222222221</v>
      </c>
      <c r="F329">
        <v>0.30555555555555558</v>
      </c>
      <c r="G329">
        <v>0.39444444444444438</v>
      </c>
    </row>
    <row r="330" spans="1:7" x14ac:dyDescent="0.15">
      <c r="A330" t="str">
        <f>HYPERLINK("./new_k5/query_cmdrels_weight_analyze/0.3_0.3_0.4/su_626606.xlsx","su_626606")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0.83333333333333337</v>
      </c>
    </row>
    <row r="331" spans="1:7" x14ac:dyDescent="0.15">
      <c r="A331" t="str">
        <f>HYPERLINK("./new_k5/query_cmdrels_weight_analyze/0.3_0.3_0.4/su_634469.xlsx","su_634469")</f>
        <v>su_634469</v>
      </c>
      <c r="B331">
        <v>0</v>
      </c>
      <c r="C331">
        <v>0.16666666666666671</v>
      </c>
      <c r="D331">
        <v>0</v>
      </c>
      <c r="E331">
        <v>0.27777777777777768</v>
      </c>
      <c r="F331">
        <v>0</v>
      </c>
      <c r="G331">
        <v>0.37777777777777782</v>
      </c>
    </row>
    <row r="332" spans="1:7" x14ac:dyDescent="0.15">
      <c r="A332" t="str">
        <f>HYPERLINK("./new_k5/query_cmdrels_weight_analyze/0.3_0.3_0.4/su_638616.xlsx","su_638616")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HYPERLINK("./new_k5/query_cmdrels_weight_analyze/0.3_0.3_0.4/su_678113.xlsx","su_678113")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HYPERLINK("./new_k5/query_cmdrels_weight_analyze/0.3_0.3_0.4/su_686394.xlsx","su_686394")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HYPERLINK("./new_k5/query_cmdrels_weight_analyze/0.3_0.3_0.4/su_716795.xlsx","su_716795")</f>
        <v>su_716795</v>
      </c>
      <c r="B335">
        <v>0.5</v>
      </c>
      <c r="C335">
        <v>0</v>
      </c>
      <c r="D335">
        <v>0.83333333333333326</v>
      </c>
      <c r="E335">
        <v>0.16666666666666671</v>
      </c>
      <c r="F335">
        <v>0.83333333333333326</v>
      </c>
      <c r="G335">
        <v>0.16666666666666671</v>
      </c>
    </row>
    <row r="336" spans="1:7" x14ac:dyDescent="0.15">
      <c r="A336" t="str">
        <f>HYPERLINK("./new_k5/query_cmdrels_weight_analyze/0.3_0.3_0.4/su_758463.xlsx","su_758463")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HYPERLINK("./new_k5/query_cmdrels_weight_analyze/0.3_0.3_0.4/su_766437.xlsx","su_766437")</f>
        <v>su_766437</v>
      </c>
      <c r="B337">
        <v>0</v>
      </c>
      <c r="C337">
        <v>0</v>
      </c>
      <c r="D337">
        <v>0</v>
      </c>
      <c r="E337">
        <v>6.6666666666666666E-2</v>
      </c>
      <c r="F337">
        <v>0.05</v>
      </c>
      <c r="G337">
        <v>0.28666666666666663</v>
      </c>
    </row>
    <row r="338" spans="1:7" x14ac:dyDescent="0.15">
      <c r="A338" t="str">
        <f>HYPERLINK("./new_k5/query_cmdrels_weight_analyze/0.3_0.3_0.4/su_904001.xlsx","su_904001")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HYPERLINK("./new_k5/query_cmdrels_weight_analyze/0.3_0.3_0.4/ul_100959.xlsx","ul_100959")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HYPERLINK("./new_k5/query_cmdrels_weight_analyze/0.3_0.3_0.4/ul_101073.xlsx","ul_101073")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HYPERLINK("./new_k5/query_cmdrels_weight_analyze/0.3_0.3_0.4/ul_101237.xlsx","ul_101237")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HYPERLINK("./new_k5/query_cmdrels_weight_analyze/0.3_0.3_0.4/ul_102752.xlsx","ul_102752")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HYPERLINK("./new_k5/query_cmdrels_weight_analyze/0.3_0.3_0.4/ul_108174.xlsx","ul_108174")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HYPERLINK("./new_k5/query_cmdrels_weight_analyze/0.3_0.3_0.4/ul_109536.xlsx","ul_109536")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HYPERLINK("./new_k5/query_cmdrels_weight_analyze/0.3_0.3_0.4/ul_112050.xlsx","ul_112050")</f>
        <v>ul_112050</v>
      </c>
      <c r="B345">
        <v>0</v>
      </c>
      <c r="C345">
        <v>0.25</v>
      </c>
      <c r="D345">
        <v>0.125</v>
      </c>
      <c r="E345">
        <v>0.75</v>
      </c>
      <c r="F345">
        <v>0.125</v>
      </c>
      <c r="G345">
        <v>0.75</v>
      </c>
    </row>
    <row r="346" spans="1:7" x14ac:dyDescent="0.15">
      <c r="A346" t="str">
        <f>HYPERLINK("./new_k5/query_cmdrels_weight_analyze/0.3_0.3_0.4/ul_116070.xlsx","ul_116070")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HYPERLINK("./new_k5/query_cmdrels_weight_analyze/0.3_0.3_0.4/ul_11851.xlsx","ul_11851")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HYPERLINK("./new_k5/query_cmdrels_weight_analyze/0.3_0.3_0.4/ul_119126.xlsx","ul_119126")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HYPERLINK("./new_k5/query_cmdrels_weight_analyze/0.3_0.3_0.4/ul_121718.xlsx","ul_121718")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HYPERLINK("./new_k5/query_cmdrels_weight_analyze/0.3_0.3_0.4/ul_12227.xlsx","ul_12227")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HYPERLINK("./new_k5/query_cmdrels_weight_analyze/0.3_0.3_0.4/ul_12453.xlsx","ul_12453")</f>
        <v>ul_12453</v>
      </c>
      <c r="B351">
        <v>0</v>
      </c>
      <c r="C351">
        <v>0</v>
      </c>
      <c r="D351">
        <v>0.125</v>
      </c>
      <c r="E351">
        <v>0.29166666666666657</v>
      </c>
      <c r="F351">
        <v>0.125</v>
      </c>
      <c r="G351">
        <v>0.47916666666666657</v>
      </c>
    </row>
    <row r="352" spans="1:7" x14ac:dyDescent="0.15">
      <c r="A352" t="str">
        <f>HYPERLINK("./new_k5/query_cmdrels_weight_analyze/0.3_0.3_0.4/ul_12535.xlsx","ul_12535")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0.16666666666666671</v>
      </c>
    </row>
    <row r="353" spans="1:7" x14ac:dyDescent="0.15">
      <c r="A353" t="str">
        <f>HYPERLINK("./new_k5/query_cmdrels_weight_analyze/0.3_0.3_0.4/ul_127066.xlsx","ul_127066")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0.60416666666666663</v>
      </c>
    </row>
    <row r="354" spans="1:7" x14ac:dyDescent="0.15">
      <c r="A354" t="str">
        <f>HYPERLINK("./new_k5/query_cmdrels_weight_analyze/0.3_0.3_0.4/ul_128953.xlsx","ul_128953")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HYPERLINK("./new_k5/query_cmdrels_weight_analyze/0.3_0.3_0.4/ul_134829.xlsx","ul_134829")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0.66666666666666663</v>
      </c>
    </row>
    <row r="356" spans="1:7" x14ac:dyDescent="0.15">
      <c r="A356" t="str">
        <f>HYPERLINK("./new_k5/query_cmdrels_weight_analyze/0.3_0.3_0.4/ul_136371.xlsx","ul_136371")</f>
        <v>ul_136371</v>
      </c>
      <c r="B356">
        <v>0</v>
      </c>
      <c r="C356">
        <v>0.33333333333333331</v>
      </c>
      <c r="D356">
        <v>0</v>
      </c>
      <c r="E356">
        <v>0.33333333333333331</v>
      </c>
      <c r="F356">
        <v>0</v>
      </c>
      <c r="G356">
        <v>0.46666666666666662</v>
      </c>
    </row>
    <row r="357" spans="1:7" x14ac:dyDescent="0.15">
      <c r="A357" t="str">
        <f>HYPERLINK("./new_k5/query_cmdrels_weight_analyze/0.3_0.3_0.4/ul_136884.xlsx","ul_136884")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HYPERLINK("./new_k5/query_cmdrels_weight_analyze/0.3_0.3_0.4/ul_138398.xlsx","ul_138398")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HYPERLINK("./new_k5/query_cmdrels_weight_analyze/0.3_0.3_0.4/ul_139271.xlsx","ul_139271")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0.33333333333333331</v>
      </c>
      <c r="F359">
        <v>0.33333333333333331</v>
      </c>
      <c r="G359">
        <v>0.45833333333333331</v>
      </c>
    </row>
    <row r="360" spans="1:7" x14ac:dyDescent="0.15">
      <c r="A360" t="str">
        <f>HYPERLINK("./new_k5/query_cmdrels_weight_analyze/0.3_0.3_0.4/ul_140482.xlsx","ul_140482")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HYPERLINK("./new_k5/query_cmdrels_weight_analyze/0.3_0.3_0.4/ul_14191.xlsx","ul_14191")</f>
        <v>ul_14191</v>
      </c>
      <c r="B361">
        <v>0.33333333333333331</v>
      </c>
      <c r="C361">
        <v>0</v>
      </c>
      <c r="D361">
        <v>0.55555555555555547</v>
      </c>
      <c r="E361">
        <v>0</v>
      </c>
      <c r="F361">
        <v>0.55555555555555547</v>
      </c>
      <c r="G361">
        <v>8.3333333333333329E-2</v>
      </c>
    </row>
    <row r="362" spans="1:7" x14ac:dyDescent="0.15">
      <c r="A362" t="str">
        <f>HYPERLINK("./new_k5/query_cmdrels_weight_analyze/0.3_0.3_0.4/ul_145929.xlsx","ul_145929")</f>
        <v>ul_145929</v>
      </c>
      <c r="B362">
        <v>0</v>
      </c>
      <c r="C362">
        <v>0</v>
      </c>
      <c r="D362">
        <v>0.16666666666666671</v>
      </c>
      <c r="E362">
        <v>0.16666666666666671</v>
      </c>
      <c r="F362">
        <v>0.16666666666666671</v>
      </c>
      <c r="G362">
        <v>0.41666666666666657</v>
      </c>
    </row>
    <row r="363" spans="1:7" x14ac:dyDescent="0.15">
      <c r="A363" t="str">
        <f>HYPERLINK("./new_k5/query_cmdrels_weight_analyze/0.3_0.3_0.4/ul_148985.xlsx","ul_148985")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HYPERLINK("./new_k5/query_cmdrels_weight_analyze/0.3_0.3_0.4/ul_15405.xlsx","ul_15405")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HYPERLINK("./new_k5/query_cmdrels_weight_analyze/0.3_0.3_0.4/ul_155551.xlsx","ul_155551")</f>
        <v>ul_155551</v>
      </c>
      <c r="B365">
        <v>0</v>
      </c>
      <c r="C365">
        <v>0</v>
      </c>
      <c r="D365">
        <v>0</v>
      </c>
      <c r="E365">
        <v>0.58333333333333326</v>
      </c>
      <c r="F365">
        <v>0</v>
      </c>
      <c r="G365">
        <v>0.58333333333333326</v>
      </c>
    </row>
    <row r="366" spans="1:7" x14ac:dyDescent="0.15">
      <c r="A366" t="str">
        <f>HYPERLINK("./new_k5/query_cmdrels_weight_analyze/0.3_0.3_0.4/ul_159672.xlsx","ul_159672")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HYPERLINK("./new_k5/query_cmdrels_weight_analyze/0.3_0.3_0.4/ul_163845.xlsx","ul_163845")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HYPERLINK("./new_k5/query_cmdrels_weight_analyze/0.3_0.3_0.4/ul_16407.xlsx","ul_16407")</f>
        <v>ul_16407</v>
      </c>
      <c r="B368">
        <v>0.5</v>
      </c>
      <c r="C368">
        <v>0.5</v>
      </c>
      <c r="D368">
        <v>0.5</v>
      </c>
      <c r="E368">
        <v>0.5</v>
      </c>
      <c r="F368">
        <v>0.75</v>
      </c>
      <c r="G368">
        <v>0.5</v>
      </c>
    </row>
    <row r="369" spans="1:7" x14ac:dyDescent="0.15">
      <c r="A369" t="str">
        <f>HYPERLINK("./new_k5/query_cmdrels_weight_analyze/0.3_0.3_0.4/ul_166558.xlsx","ul_166558")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HYPERLINK("./new_k5/query_cmdrels_weight_analyze/0.3_0.3_0.4/ul_171314.xlsx","ul_171314")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0.27777777777777768</v>
      </c>
      <c r="F370">
        <v>0.16666666666666671</v>
      </c>
      <c r="G370">
        <v>0.37777777777777782</v>
      </c>
    </row>
    <row r="371" spans="1:7" x14ac:dyDescent="0.15">
      <c r="A371" t="str">
        <f>HYPERLINK("./new_k5/query_cmdrels_weight_analyze/0.3_0.3_0.4/ul_182032.xlsx","ul_182032")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HYPERLINK("./new_k5/query_cmdrels_weight_analyze/0.3_0.3_0.4/ul_19344.xlsx","ul_19344")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HYPERLINK("./new_k5/query_cmdrels_weight_analyze/0.3_0.3_0.4/ul_19369.xlsx","ul_19369")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HYPERLINK("./new_k5/query_cmdrels_weight_analyze/0.3_0.3_0.4/ul_19485.xlsx","ul_19485")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HYPERLINK("./new_k5/query_cmdrels_weight_analyze/0.3_0.3_0.4/ul_20370.xlsx","ul_20370")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0.125</v>
      </c>
    </row>
    <row r="376" spans="1:7" x14ac:dyDescent="0.15">
      <c r="A376" t="str">
        <f>HYPERLINK("./new_k5/query_cmdrels_weight_analyze/0.3_0.3_0.4/ul_211817.xlsx","ul_211817")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HYPERLINK("./new_k5/query_cmdrels_weight_analyze/0.3_0.3_0.4/ul_212925.xlsx","ul_212925")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HYPERLINK("./new_k5/query_cmdrels_weight_analyze/0.3_0.3_0.4/ul_21471.xlsx","ul_21471")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HYPERLINK("./new_k5/query_cmdrels_weight_analyze/0.3_0.3_0.4/ul_22545.xlsx","ul_22545")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HYPERLINK("./new_k5/query_cmdrels_weight_analyze/0.3_0.3_0.4/ul_230481.xlsx","ul_230481")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HYPERLINK("./new_k5/query_cmdrels_weight_analyze/0.3_0.3_0.4/ul_230673.xlsx","ul_230673")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0.5</v>
      </c>
    </row>
    <row r="382" spans="1:7" x14ac:dyDescent="0.15">
      <c r="A382" t="str">
        <f>HYPERLINK("./new_k5/query_cmdrels_weight_analyze/0.3_0.3_0.4/ul_230800.xlsx","ul_230800")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HYPERLINK("./new_k5/query_cmdrels_weight_analyze/0.3_0.3_0.4/ul_232384.xlsx","ul_232384")</f>
        <v>ul_232384</v>
      </c>
      <c r="B383">
        <v>0</v>
      </c>
      <c r="C383">
        <v>0.5</v>
      </c>
      <c r="D383">
        <v>0</v>
      </c>
      <c r="E383">
        <v>0.83333333333333326</v>
      </c>
      <c r="F383">
        <v>0</v>
      </c>
      <c r="G383">
        <v>0.83333333333333326</v>
      </c>
    </row>
    <row r="384" spans="1:7" x14ac:dyDescent="0.15">
      <c r="A384" t="str">
        <f>HYPERLINK("./new_k5/query_cmdrels_weight_analyze/0.3_0.3_0.4/ul_24441.xlsx","ul_24441")</f>
        <v>ul_24441</v>
      </c>
      <c r="B384">
        <v>0</v>
      </c>
      <c r="C384">
        <v>0</v>
      </c>
      <c r="D384">
        <v>0</v>
      </c>
      <c r="E384">
        <v>0.25</v>
      </c>
      <c r="F384">
        <v>0</v>
      </c>
      <c r="G384">
        <v>0.25</v>
      </c>
    </row>
    <row r="385" spans="1:7" x14ac:dyDescent="0.15">
      <c r="A385" t="str">
        <f>HYPERLINK("./new_k5/query_cmdrels_weight_analyze/0.3_0.3_0.4/ul_246535.xlsx","ul_246535")</f>
        <v>ul_246535</v>
      </c>
      <c r="B385">
        <v>0.2</v>
      </c>
      <c r="C385">
        <v>0.2</v>
      </c>
      <c r="D385">
        <v>0.2</v>
      </c>
      <c r="E385">
        <v>0.2</v>
      </c>
      <c r="F385">
        <v>0.2</v>
      </c>
      <c r="G385">
        <v>0.42</v>
      </c>
    </row>
    <row r="386" spans="1:7" x14ac:dyDescent="0.15">
      <c r="A386" t="str">
        <f>HYPERLINK("./new_k5/query_cmdrels_weight_analyze/0.3_0.3_0.4/ul_259791.xlsx","ul_259791")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HYPERLINK("./new_k5/query_cmdrels_weight_analyze/0.3_0.3_0.4/ul_273971.xlsx","ul_273971")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0.16666666666666671</v>
      </c>
      <c r="F387">
        <v>0.43333333333333329</v>
      </c>
      <c r="G387">
        <v>0.25</v>
      </c>
    </row>
    <row r="388" spans="1:7" x14ac:dyDescent="0.15">
      <c r="A388" t="str">
        <f>HYPERLINK("./new_k5/query_cmdrels_weight_analyze/0.3_0.3_0.4/ul_28553.xlsx","ul_28553")</f>
        <v>ul_28553</v>
      </c>
      <c r="B388">
        <v>0.25</v>
      </c>
      <c r="C388">
        <v>0</v>
      </c>
      <c r="D388">
        <v>0.5</v>
      </c>
      <c r="E388">
        <v>0.125</v>
      </c>
      <c r="F388">
        <v>0.5</v>
      </c>
      <c r="G388">
        <v>0.125</v>
      </c>
    </row>
    <row r="389" spans="1:7" x14ac:dyDescent="0.15">
      <c r="A389" t="str">
        <f>HYPERLINK("./new_k5/query_cmdrels_weight_analyze/0.3_0.3_0.4/ul_288521.xlsx","ul_288521")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HYPERLINK("./new_k5/query_cmdrels_weight_analyze/0.3_0.3_0.4/ul_32290.xlsx","ul_32290")</f>
        <v>ul_32290</v>
      </c>
      <c r="B390">
        <v>0</v>
      </c>
      <c r="C390">
        <v>0</v>
      </c>
      <c r="D390">
        <v>0</v>
      </c>
      <c r="E390">
        <v>0.125</v>
      </c>
      <c r="F390">
        <v>0</v>
      </c>
      <c r="G390">
        <v>0.125</v>
      </c>
    </row>
    <row r="391" spans="1:7" x14ac:dyDescent="0.15">
      <c r="A391" t="str">
        <f>HYPERLINK("./new_k5/query_cmdrels_weight_analyze/0.3_0.3_0.4/ul_328882.xlsx","ul_328882")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HYPERLINK("./new_k5/query_cmdrels_weight_analyze/0.3_0.3_0.4/ul_35131.xlsx","ul_35131")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0.91666666666666663</v>
      </c>
    </row>
    <row r="393" spans="1:7" x14ac:dyDescent="0.15">
      <c r="A393" t="str">
        <f>HYPERLINK("./new_k5/query_cmdrels_weight_analyze/0.3_0.3_0.4/ul_35333.xlsx","ul_35333")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HYPERLINK("./new_k5/query_cmdrels_weight_analyze/0.3_0.3_0.4/ul_35711.xlsx","ul_35711")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HYPERLINK("./new_k5/query_cmdrels_weight_analyze/0.3_0.3_0.4/ul_3575.xlsx","ul_3575")</f>
        <v>ul_3575</v>
      </c>
      <c r="B395">
        <v>0</v>
      </c>
      <c r="C395">
        <v>0.16666666666666671</v>
      </c>
      <c r="D395">
        <v>8.3333333333333329E-2</v>
      </c>
      <c r="E395">
        <v>0.16666666666666671</v>
      </c>
      <c r="F395">
        <v>8.3333333333333329E-2</v>
      </c>
      <c r="G395">
        <v>0.16666666666666671</v>
      </c>
    </row>
    <row r="396" spans="1:7" x14ac:dyDescent="0.15">
      <c r="A396" t="str">
        <f>HYPERLINK("./new_k5/query_cmdrels_weight_analyze/0.3_0.3_0.4/ul_35832.xlsx","ul_35832")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HYPERLINK("./new_k5/query_cmdrels_weight_analyze/0.3_0.3_0.4/ul_370318.xlsx","ul_370318")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0.2857142857142857</v>
      </c>
      <c r="F397">
        <v>0.14285714285714279</v>
      </c>
      <c r="G397">
        <v>0.39285714285714279</v>
      </c>
    </row>
    <row r="398" spans="1:7" x14ac:dyDescent="0.15">
      <c r="A398" t="str">
        <f>HYPERLINK("./new_k5/query_cmdrels_weight_analyze/0.3_0.3_0.4/ul_37329.xlsx","ul_37329")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0.66666666666666663</v>
      </c>
      <c r="F398">
        <v>0.33333333333333331</v>
      </c>
      <c r="G398">
        <v>0.66666666666666663</v>
      </c>
    </row>
    <row r="399" spans="1:7" x14ac:dyDescent="0.15">
      <c r="A399" t="str">
        <f>HYPERLINK("./new_k5/query_cmdrels_weight_analyze/0.3_0.3_0.4/ul_38209.xlsx","ul_38209")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HYPERLINK("./new_k5/query_cmdrels_weight_analyze/0.3_0.3_0.4/ul_41246.xlsx","ul_41246")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HYPERLINK("./new_k5/query_cmdrels_weight_analyze/0.3_0.3_0.4/ul_41362.xlsx","ul_41362")</f>
        <v>ul_41362</v>
      </c>
      <c r="B401">
        <v>0</v>
      </c>
      <c r="C401">
        <v>0</v>
      </c>
      <c r="D401">
        <v>0</v>
      </c>
      <c r="E401">
        <v>8.3333333333333329E-2</v>
      </c>
      <c r="F401">
        <v>0</v>
      </c>
      <c r="G401">
        <v>8.3333333333333329E-2</v>
      </c>
    </row>
    <row r="402" spans="1:7" x14ac:dyDescent="0.15">
      <c r="A402" t="str">
        <f>HYPERLINK("./new_k5/query_cmdrels_weight_analyze/0.3_0.3_0.4/ul_48200.xlsx","ul_48200")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HYPERLINK("./new_k5/query_cmdrels_weight_analyze/0.3_0.3_0.4/ul_50098.xlsx","ul_50098")</f>
        <v>ul_50098</v>
      </c>
      <c r="B403">
        <v>0</v>
      </c>
      <c r="C403">
        <v>0.1</v>
      </c>
      <c r="D403">
        <v>0.1166666666666667</v>
      </c>
      <c r="E403">
        <v>0.16666666666666671</v>
      </c>
      <c r="F403">
        <v>0.1166666666666667</v>
      </c>
      <c r="G403">
        <v>0.24166666666666661</v>
      </c>
    </row>
    <row r="404" spans="1:7" x14ac:dyDescent="0.15">
      <c r="A404" t="str">
        <f>HYPERLINK("./new_k5/query_cmdrels_weight_analyze/0.3_0.3_0.4/ul_50785.xlsx","ul_50785")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HYPERLINK("./new_k5/query_cmdrels_weight_analyze/0.3_0.3_0.4/ul_5085.xlsx","ul_5085")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HYPERLINK("./new_k5/query_cmdrels_weight_analyze/0.3_0.3_0.4/ul_53737.xlsx","ul_53737")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HYPERLINK("./new_k5/query_cmdrels_weight_analyze/0.3_0.3_0.4/ul_55125.xlsx","ul_55125")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HYPERLINK("./new_k5/query_cmdrels_weight_analyze/0.3_0.3_0.4/ul_56453.xlsx","ul_56453")</f>
        <v>ul_56453</v>
      </c>
      <c r="B408">
        <v>0</v>
      </c>
      <c r="C408">
        <v>0.25</v>
      </c>
      <c r="D408">
        <v>8.3333333333333329E-2</v>
      </c>
      <c r="E408">
        <v>0.5</v>
      </c>
      <c r="F408">
        <v>8.3333333333333329E-2</v>
      </c>
      <c r="G408">
        <v>0.5</v>
      </c>
    </row>
    <row r="409" spans="1:7" x14ac:dyDescent="0.15">
      <c r="A409" t="str">
        <f>HYPERLINK("./new_k5/query_cmdrels_weight_analyze/0.3_0.3_0.4/ul_63648.xlsx","ul_63648")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HYPERLINK("./new_k5/query_cmdrels_weight_analyze/0.3_0.3_0.4/ul_6402.xlsx","ul_6402")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0.33333333333333331</v>
      </c>
    </row>
    <row r="411" spans="1:7" x14ac:dyDescent="0.15">
      <c r="A411" t="str">
        <f>HYPERLINK("./new_k5/query_cmdrels_weight_analyze/0.3_0.3_0.4/ul_65106.xlsx","ul_65106")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0.66666666666666663</v>
      </c>
    </row>
    <row r="412" spans="1:7" x14ac:dyDescent="0.15">
      <c r="A412" t="str">
        <f>HYPERLINK("./new_k5/query_cmdrels_weight_analyze/0.3_0.3_0.4/ul_65932.xlsx","ul_65932")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HYPERLINK("./new_k5/query_cmdrels_weight_analyze/0.3_0.3_0.4/ul_6596.xlsx","ul_6596")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HYPERLINK("./new_k5/query_cmdrels_weight_analyze/0.3_0.3_0.4/ul_67503.xlsx","ul_67503")</f>
        <v>ul_67503</v>
      </c>
      <c r="B414">
        <v>0</v>
      </c>
      <c r="C414">
        <v>0.5</v>
      </c>
      <c r="D414">
        <v>0.25</v>
      </c>
      <c r="E414">
        <v>0.83333333333333326</v>
      </c>
      <c r="F414">
        <v>0.5</v>
      </c>
      <c r="G414">
        <v>0.83333333333333326</v>
      </c>
    </row>
    <row r="415" spans="1:7" x14ac:dyDescent="0.15">
      <c r="A415" t="str">
        <f>HYPERLINK("./new_k5/query_cmdrels_weight_analyze/0.3_0.3_0.4/ul_67592.xlsx","ul_67592")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HYPERLINK("./new_k5/query_cmdrels_weight_analyze/0.3_0.3_0.4/ul_70581.xlsx","ul_70581")</f>
        <v>ul_70581</v>
      </c>
      <c r="B416">
        <v>0</v>
      </c>
      <c r="C416">
        <v>0</v>
      </c>
      <c r="D416">
        <v>0.1</v>
      </c>
      <c r="E416">
        <v>0.1</v>
      </c>
      <c r="F416">
        <v>0.1</v>
      </c>
      <c r="G416">
        <v>0.32</v>
      </c>
    </row>
    <row r="417" spans="1:7" x14ac:dyDescent="0.15">
      <c r="A417" t="str">
        <f>HYPERLINK("./new_k5/query_cmdrels_weight_analyze/0.3_0.3_0.4/ul_70614.xlsx","ul_70614")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HYPERLINK("./new_k5/query_cmdrels_weight_analyze/0.3_0.3_0.4/ul_71465.xlsx","ul_71465")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HYPERLINK("./new_k5/query_cmdrels_weight_analyze/0.3_0.3_0.4/ul_7226.xlsx","ul_7226")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0.55555555555555547</v>
      </c>
      <c r="F419">
        <v>0.33333333333333331</v>
      </c>
      <c r="G419">
        <v>0.55555555555555547</v>
      </c>
    </row>
    <row r="420" spans="1:7" x14ac:dyDescent="0.15">
      <c r="A420" t="str">
        <f>HYPERLINK("./new_k5/query_cmdrels_weight_analyze/0.3_0.3_0.4/ul_78182.xlsx","ul_78182")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</v>
      </c>
    </row>
    <row r="421" spans="1:7" x14ac:dyDescent="0.15">
      <c r="A421" t="str">
        <f>HYPERLINK("./new_k5/query_cmdrels_weight_analyze/0.3_0.3_0.4/ul_79678.xlsx","ul_79678")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HYPERLINK("./new_k5/query_cmdrels_weight_analyze/0.3_0.3_0.4/ul_79702.xlsx","ul_79702")</f>
        <v>ul_79702</v>
      </c>
      <c r="B422">
        <v>0</v>
      </c>
      <c r="C422">
        <v>0.33333333333333331</v>
      </c>
      <c r="D422">
        <v>0</v>
      </c>
      <c r="E422">
        <v>0.66666666666666663</v>
      </c>
      <c r="F422">
        <v>0</v>
      </c>
      <c r="G422">
        <v>0.8666666666666667</v>
      </c>
    </row>
    <row r="423" spans="1:7" x14ac:dyDescent="0.15">
      <c r="A423" t="str">
        <f>HYPERLINK("./new_k5/query_cmdrels_weight_analyze/0.3_0.3_0.4/ul_83593.xlsx","ul_83593")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HYPERLINK("./new_k5/query_cmdrels_weight_analyze/0.3_0.3_0.4/ul_84381.xlsx","ul_84381")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HYPERLINK("./new_k5/query_cmdrels_weight_analyze/0.3_0.3_0.4/ul_85180.xlsx","ul_85180")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0.27777777777777768</v>
      </c>
    </row>
    <row r="426" spans="1:7" x14ac:dyDescent="0.15">
      <c r="A426" t="str">
        <f>HYPERLINK("./new_k5/query_cmdrels_weight_analyze/0.3_0.3_0.4/ul_86071.xlsx","ul_86071")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HYPERLINK("./new_k5/query_cmdrels_weight_analyze/0.3_0.3_0.4/ul_86729.xlsx","ul_86729")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HYPERLINK("./new_k5/query_cmdrels_weight_analyze/0.3_0.3_0.4/ul_88824.xlsx","ul_88824")</f>
        <v>ul_88824</v>
      </c>
      <c r="B428">
        <v>0</v>
      </c>
      <c r="C428">
        <v>0.33333333333333331</v>
      </c>
      <c r="D428">
        <v>0</v>
      </c>
      <c r="E428">
        <v>0.55555555555555547</v>
      </c>
      <c r="F428">
        <v>0</v>
      </c>
      <c r="G428">
        <v>0.55555555555555547</v>
      </c>
    </row>
    <row r="429" spans="1:7" x14ac:dyDescent="0.15">
      <c r="A429" t="str">
        <f>HYPERLINK("./new_k5/query_cmdrels_weight_analyze/0.3_0.3_0.4/ul_8945.xlsx","ul_8945")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HYPERLINK("./new_k5/query_cmdrels_weight_analyze/0.3_0.3_0.4/ul_89933.xlsx","ul_89933")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HYPERLINK("./new_k5/query_cmdrels_weight_analyze/0.3_0.3_0.4/ul_91297.xlsx","ul_91297")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HYPERLINK("./new_k5/query_cmdrels_weight_analyze/0.3_0.3_0.4/ul_9252.xlsx","ul_9252")</f>
        <v>ul_9252</v>
      </c>
      <c r="B432">
        <v>0</v>
      </c>
      <c r="C432">
        <v>0</v>
      </c>
      <c r="D432">
        <v>0.23333333333333331</v>
      </c>
      <c r="E432">
        <v>0.1</v>
      </c>
      <c r="F432">
        <v>0.23333333333333331</v>
      </c>
      <c r="G432">
        <v>0.18</v>
      </c>
    </row>
    <row r="433" spans="1:7" x14ac:dyDescent="0.15">
      <c r="A433" t="str">
        <f>HYPERLINK("./new_k5/query_cmdrels_weight_analyze/0.3_0.3_0.4/ul_92560.xlsx","ul_92560")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0.7</v>
      </c>
    </row>
    <row r="434" spans="1:7" x14ac:dyDescent="0.15">
      <c r="A434" t="str">
        <f>HYPERLINK("./new_k5/query_cmdrels_weight_analyze/0.3_0.3_0.4/ul_92799.xlsx","ul_92799")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0.27777777777777768</v>
      </c>
      <c r="F434">
        <v>0.53611111111111109</v>
      </c>
      <c r="G434">
        <v>0.53611111111111109</v>
      </c>
    </row>
    <row r="435" spans="1:7" x14ac:dyDescent="0.15">
      <c r="A435" t="str">
        <f>HYPERLINK("./new_k5/query_cmdrels_weight_analyze/0.3_0.3_0.4/ul_93139.xlsx","ul_93139")</f>
        <v>ul_93139</v>
      </c>
      <c r="B435">
        <v>0</v>
      </c>
      <c r="C435">
        <v>0.5</v>
      </c>
      <c r="D435">
        <v>0.25</v>
      </c>
      <c r="E435">
        <v>0.5</v>
      </c>
      <c r="F435">
        <v>0.25</v>
      </c>
      <c r="G435">
        <v>0.5</v>
      </c>
    </row>
    <row r="436" spans="1:7" x14ac:dyDescent="0.15">
      <c r="A436" t="str">
        <f>HYPERLINK("./new_k5/query_cmdrels_weight_analyze/0.3_0.3_0.4/ul_98461.xlsx","ul_98461")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HYPERLINK("./new_k5/query_cmdrels_weight_analyze/0.1_0.1_0.8/au_102733.xlsx","au_102733")</f>
        <v>au_102733</v>
      </c>
      <c r="B3">
        <v>0.25</v>
      </c>
      <c r="C3">
        <v>0.25</v>
      </c>
      <c r="D3">
        <v>0.5</v>
      </c>
      <c r="E3">
        <v>0.41666666666666657</v>
      </c>
      <c r="F3">
        <v>0.5</v>
      </c>
      <c r="G3">
        <v>0.41666666666666657</v>
      </c>
    </row>
    <row r="4" spans="1:7" x14ac:dyDescent="0.15">
      <c r="A4" t="str">
        <f>HYPERLINK("./new_k5/query_cmdrels_weight_analyze/0.1_0.1_0.8/au_1029436.xlsx","au_1029436")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HYPERLINK("./new_k5/query_cmdrels_weight_analyze/0.1_0.1_0.8/au_1029502.xlsx","au_1029502")</f>
        <v>au_1029502</v>
      </c>
      <c r="B5">
        <v>0.25</v>
      </c>
      <c r="C5">
        <v>0.25</v>
      </c>
      <c r="D5">
        <v>0.25</v>
      </c>
      <c r="E5">
        <v>0.5</v>
      </c>
      <c r="F5">
        <v>0.375</v>
      </c>
      <c r="G5">
        <v>0.5</v>
      </c>
    </row>
    <row r="6" spans="1:7" x14ac:dyDescent="0.15">
      <c r="A6" t="str">
        <f>HYPERLINK("./new_k5/query_cmdrels_weight_analyze/0.1_0.1_0.8/au_1029531.xlsx","au_1029531")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HYPERLINK("./new_k5/query_cmdrels_weight_analyze/0.1_0.1_0.8/au_104542.xlsx","au_104542")</f>
        <v>au_104542</v>
      </c>
      <c r="B7">
        <v>0.125</v>
      </c>
      <c r="C7">
        <v>0.125</v>
      </c>
      <c r="D7">
        <v>0.25</v>
      </c>
      <c r="E7">
        <v>0.25</v>
      </c>
      <c r="F7">
        <v>0.25</v>
      </c>
      <c r="G7">
        <v>0.25</v>
      </c>
    </row>
    <row r="8" spans="1:7" x14ac:dyDescent="0.15">
      <c r="A8" t="str">
        <f>HYPERLINK("./new_k5/query_cmdrels_weight_analyze/0.1_0.1_0.8/au_109070.xlsx","au_109070")</f>
        <v>au_109070</v>
      </c>
      <c r="B8">
        <v>0</v>
      </c>
      <c r="C8">
        <v>0</v>
      </c>
      <c r="D8">
        <v>0.23333333333333331</v>
      </c>
      <c r="E8">
        <v>0.23333333333333331</v>
      </c>
      <c r="F8">
        <v>0.3833333333333333</v>
      </c>
      <c r="G8">
        <v>0.23333333333333331</v>
      </c>
    </row>
    <row r="9" spans="1:7" x14ac:dyDescent="0.15">
      <c r="A9" t="str">
        <f>HYPERLINK("./new_k5/query_cmdrels_weight_analyze/0.1_0.1_0.8/au_109381.xlsx","au_109381")</f>
        <v>au_109381</v>
      </c>
      <c r="B9">
        <v>0</v>
      </c>
      <c r="C9">
        <v>0</v>
      </c>
      <c r="D9">
        <v>0.25</v>
      </c>
      <c r="E9">
        <v>0.25</v>
      </c>
      <c r="F9">
        <v>0.25</v>
      </c>
      <c r="G9">
        <v>0.25</v>
      </c>
    </row>
    <row r="10" spans="1:7" x14ac:dyDescent="0.15">
      <c r="A10" t="str">
        <f>HYPERLINK("./new_k5/query_cmdrels_weight_analyze/0.1_0.1_0.8/au_110477.xlsx","au_110477")</f>
        <v>au_110477</v>
      </c>
      <c r="B10">
        <v>0.25</v>
      </c>
      <c r="C10">
        <v>0.25</v>
      </c>
      <c r="D10">
        <v>0.5</v>
      </c>
      <c r="E10">
        <v>0.5</v>
      </c>
      <c r="F10">
        <v>0.5</v>
      </c>
      <c r="G10">
        <v>0.5</v>
      </c>
    </row>
    <row r="11" spans="1:7" x14ac:dyDescent="0.15">
      <c r="A11" t="str">
        <f>HYPERLINK("./new_k5/query_cmdrels_weight_analyze/0.1_0.1_0.8/au_111678.xlsx","au_111678")</f>
        <v>au_111678</v>
      </c>
      <c r="B11">
        <v>0</v>
      </c>
      <c r="C11">
        <v>0</v>
      </c>
      <c r="D11">
        <v>0.1111111111111111</v>
      </c>
      <c r="E11">
        <v>0.16666666666666671</v>
      </c>
      <c r="F11">
        <v>0.1111111111111111</v>
      </c>
      <c r="G11">
        <v>0.16666666666666671</v>
      </c>
    </row>
    <row r="12" spans="1:7" x14ac:dyDescent="0.15">
      <c r="A12" t="str">
        <f>HYPERLINK("./new_k5/query_cmdrels_weight_analyze/0.1_0.1_0.8/au_112512.xlsx","au_112512")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HYPERLINK("./new_k5/query_cmdrels_weight_analyze/0.1_0.1_0.8/au_115369.xlsx","au_115369")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HYPERLINK("./new_k5/query_cmdrels_weight_analyze/0.1_0.1_0.8/au_11789.xlsx","au_11789")</f>
        <v>au_11789</v>
      </c>
      <c r="B14">
        <v>0</v>
      </c>
      <c r="C14">
        <v>0</v>
      </c>
      <c r="D14">
        <v>0</v>
      </c>
      <c r="E14">
        <v>0.25</v>
      </c>
      <c r="F14">
        <v>0</v>
      </c>
      <c r="G14">
        <v>0.25</v>
      </c>
    </row>
    <row r="15" spans="1:7" x14ac:dyDescent="0.15">
      <c r="A15" t="str">
        <f>HYPERLINK("./new_k5/query_cmdrels_weight_analyze/0.1_0.1_0.8/au_117950.xlsx","au_117950")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</v>
      </c>
    </row>
    <row r="16" spans="1:7" x14ac:dyDescent="0.15">
      <c r="A16" t="str">
        <f>HYPERLINK("./new_k5/query_cmdrels_weight_analyze/0.1_0.1_0.8/au_122113.xlsx","au_122113")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HYPERLINK("./new_k5/query_cmdrels_weight_analyze/0.1_0.1_0.8/au_123798.xlsx","au_123798")</f>
        <v>au_123798</v>
      </c>
      <c r="B17">
        <v>0</v>
      </c>
      <c r="C17">
        <v>0</v>
      </c>
      <c r="D17">
        <v>5.5555555555555552E-2</v>
      </c>
      <c r="E17">
        <v>8.3333333333333329E-2</v>
      </c>
      <c r="F17">
        <v>0.23888888888888879</v>
      </c>
      <c r="G17">
        <v>0.26666666666666672</v>
      </c>
    </row>
    <row r="18" spans="1:7" x14ac:dyDescent="0.15">
      <c r="A18" t="str">
        <f>HYPERLINK("./new_k5/query_cmdrels_weight_analyze/0.1_0.1_0.8/au_125257.xlsx","au_125257")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HYPERLINK("./new_k5/query_cmdrels_weight_analyze/0.1_0.1_0.8/au_126153.xlsx","au_126153")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0.5</v>
      </c>
      <c r="F19">
        <v>0.45833333333333331</v>
      </c>
      <c r="G19">
        <v>0.83333333333333337</v>
      </c>
    </row>
    <row r="20" spans="1:7" x14ac:dyDescent="0.15">
      <c r="A20" t="str">
        <f>HYPERLINK("./new_k5/query_cmdrels_weight_analyze/0.1_0.1_0.8/au_127326.xlsx","au_127326")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HYPERLINK("./new_k5/query_cmdrels_weight_analyze/0.1_0.1_0.8/au_128463.xlsx","au_128463")</f>
        <v>au_128463</v>
      </c>
      <c r="B21">
        <v>0.33333333333333331</v>
      </c>
      <c r="C21">
        <v>0.33333333333333331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HYPERLINK("./new_k5/query_cmdrels_weight_analyze/0.1_0.1_0.8/au_130393.xlsx","au_130393")</f>
        <v>au_130393</v>
      </c>
      <c r="B22">
        <v>0</v>
      </c>
      <c r="C22">
        <v>0.25</v>
      </c>
      <c r="D22">
        <v>0.125</v>
      </c>
      <c r="E22">
        <v>0.41666666666666657</v>
      </c>
      <c r="F22">
        <v>0.125</v>
      </c>
      <c r="G22">
        <v>0.41666666666666657</v>
      </c>
    </row>
    <row r="23" spans="1:7" x14ac:dyDescent="0.15">
      <c r="A23" t="str">
        <f>HYPERLINK("./new_k5/query_cmdrels_weight_analyze/0.1_0.1_0.8/au_131570.xlsx","au_131570")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HYPERLINK("./new_k5/query_cmdrels_weight_analyze/0.1_0.1_0.8/au_133318.xlsx","au_133318")</f>
        <v>au_133318</v>
      </c>
      <c r="B24">
        <v>0</v>
      </c>
      <c r="C24">
        <v>0.25</v>
      </c>
      <c r="D24">
        <v>0</v>
      </c>
      <c r="E24">
        <v>0.25</v>
      </c>
      <c r="F24">
        <v>0</v>
      </c>
      <c r="G24">
        <v>0.25</v>
      </c>
    </row>
    <row r="25" spans="1:7" x14ac:dyDescent="0.15">
      <c r="A25" t="str">
        <f>HYPERLINK("./new_k5/query_cmdrels_weight_analyze/0.1_0.1_0.8/au_133343.xlsx","au_133343")</f>
        <v>au_133343</v>
      </c>
      <c r="B25">
        <v>0</v>
      </c>
      <c r="C25">
        <v>0</v>
      </c>
      <c r="D25">
        <v>0</v>
      </c>
      <c r="E25">
        <v>0</v>
      </c>
      <c r="F25">
        <v>0</v>
      </c>
      <c r="G25">
        <v>0.2166666666666667</v>
      </c>
    </row>
    <row r="26" spans="1:7" x14ac:dyDescent="0.15">
      <c r="A26" t="str">
        <f>HYPERLINK("./new_k5/query_cmdrels_weight_analyze/0.1_0.1_0.8/au_133389.xlsx","au_133389")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HYPERLINK("./new_k5/query_cmdrels_weight_analyze/0.1_0.1_0.8/au_141277.xlsx","au_141277")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HYPERLINK("./new_k5/query_cmdrels_weight_analyze/0.1_0.1_0.8/au_143819.xlsx","au_143819")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HYPERLINK("./new_k5/query_cmdrels_weight_analyze/0.1_0.1_0.8/au_145935.xlsx","au_145935")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0.66666666666666663</v>
      </c>
      <c r="F29">
        <v>0.55555555555555547</v>
      </c>
      <c r="G29">
        <v>0.66666666666666663</v>
      </c>
    </row>
    <row r="30" spans="1:7" x14ac:dyDescent="0.15">
      <c r="A30" t="str">
        <f>HYPERLINK("./new_k5/query_cmdrels_weight_analyze/0.1_0.1_0.8/au_147241.xlsx","au_147241")</f>
        <v>au_147241</v>
      </c>
      <c r="B30">
        <v>0</v>
      </c>
      <c r="C30">
        <v>0</v>
      </c>
      <c r="D30">
        <v>0.29166666666666657</v>
      </c>
      <c r="E30">
        <v>0.29166666666666657</v>
      </c>
      <c r="F30">
        <v>0.29166666666666657</v>
      </c>
      <c r="G30">
        <v>0.44166666666666671</v>
      </c>
    </row>
    <row r="31" spans="1:7" x14ac:dyDescent="0.15">
      <c r="A31" t="str">
        <f>HYPERLINK("./new_k5/query_cmdrels_weight_analyze/0.1_0.1_0.8/au_147800.xlsx","au_147800")</f>
        <v>au_147800</v>
      </c>
      <c r="B31">
        <v>0</v>
      </c>
      <c r="C31">
        <v>0</v>
      </c>
      <c r="D31">
        <v>0.1111111111111111</v>
      </c>
      <c r="E31">
        <v>0.1111111111111111</v>
      </c>
      <c r="F31">
        <v>0.1111111111111111</v>
      </c>
      <c r="G31">
        <v>0.1111111111111111</v>
      </c>
    </row>
    <row r="32" spans="1:7" x14ac:dyDescent="0.15">
      <c r="A32" t="str">
        <f>HYPERLINK("./new_k5/query_cmdrels_weight_analyze/0.1_0.1_0.8/au_148321.xlsx","au_148321")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0.33333333333333331</v>
      </c>
      <c r="F32">
        <v>0.16666666666666671</v>
      </c>
      <c r="G32">
        <v>0.45833333333333331</v>
      </c>
    </row>
    <row r="33" spans="1:7" x14ac:dyDescent="0.15">
      <c r="A33" t="str">
        <f>HYPERLINK("./new_k5/query_cmdrels_weight_analyze/0.1_0.1_0.8/au_148638.xlsx","au_148638")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HYPERLINK("./new_k5/query_cmdrels_weight_analyze/0.1_0.1_0.8/au_151049.xlsx","au_151049")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HYPERLINK("./new_k5/query_cmdrels_weight_analyze/0.1_0.1_0.8/au_151941.xlsx","au_151941")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HYPERLINK("./new_k5/query_cmdrels_weight_analyze/0.1_0.1_0.8/au_152297.xlsx","au_152297")</f>
        <v>au_152297</v>
      </c>
      <c r="B36">
        <v>0</v>
      </c>
      <c r="C36">
        <v>0.14285714285714279</v>
      </c>
      <c r="D36">
        <v>7.1428571428571425E-2</v>
      </c>
      <c r="E36">
        <v>0.2857142857142857</v>
      </c>
      <c r="F36">
        <v>7.1428571428571425E-2</v>
      </c>
      <c r="G36">
        <v>0.2857142857142857</v>
      </c>
    </row>
    <row r="37" spans="1:7" x14ac:dyDescent="0.15">
      <c r="A37" t="str">
        <f>HYPERLINK("./new_k5/query_cmdrels_weight_analyze/0.1_0.1_0.8/au_153976.xlsx","au_153976")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0.27777777777777768</v>
      </c>
      <c r="F37">
        <v>0.33333333333333331</v>
      </c>
      <c r="G37">
        <v>0.27777777777777768</v>
      </c>
    </row>
    <row r="38" spans="1:7" x14ac:dyDescent="0.15">
      <c r="A38" t="str">
        <f>HYPERLINK("./new_k5/query_cmdrels_weight_analyze/0.1_0.1_0.8/au_154431.xlsx","au_154431")</f>
        <v>au_154431</v>
      </c>
      <c r="B38">
        <v>0</v>
      </c>
      <c r="C38">
        <v>0.33333333333333331</v>
      </c>
      <c r="D38">
        <v>0</v>
      </c>
      <c r="E38">
        <v>0.33333333333333331</v>
      </c>
      <c r="F38">
        <v>0</v>
      </c>
      <c r="G38">
        <v>0.5</v>
      </c>
    </row>
    <row r="39" spans="1:7" x14ac:dyDescent="0.15">
      <c r="A39" t="str">
        <f>HYPERLINK("./new_k5/query_cmdrels_weight_analyze/0.1_0.1_0.8/au_159708.xlsx","au_159708")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0.55555555555555547</v>
      </c>
      <c r="F39">
        <v>0.33333333333333331</v>
      </c>
      <c r="G39">
        <v>0.55555555555555547</v>
      </c>
    </row>
    <row r="40" spans="1:7" x14ac:dyDescent="0.15">
      <c r="A40" t="str">
        <f>HYPERLINK("./new_k5/query_cmdrels_weight_analyze/0.1_0.1_0.8/au_160869.xlsx","au_160869")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HYPERLINK("./new_k5/query_cmdrels_weight_analyze/0.1_0.1_0.8/au_161313.xlsx","au_161313")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</v>
      </c>
    </row>
    <row r="42" spans="1:7" x14ac:dyDescent="0.15">
      <c r="A42" t="str">
        <f>HYPERLINK("./new_k5/query_cmdrels_weight_analyze/0.1_0.1_0.8/au_162075.xlsx","au_162075")</f>
        <v>au_162075</v>
      </c>
      <c r="B42">
        <v>0.25</v>
      </c>
      <c r="C42">
        <v>0.25</v>
      </c>
      <c r="D42">
        <v>0.5</v>
      </c>
      <c r="E42">
        <v>0.5</v>
      </c>
      <c r="F42">
        <v>0.5</v>
      </c>
      <c r="G42">
        <v>0.5</v>
      </c>
    </row>
    <row r="43" spans="1:7" x14ac:dyDescent="0.15">
      <c r="A43" t="str">
        <f>HYPERLINK("./new_k5/query_cmdrels_weight_analyze/0.1_0.1_0.8/au_16277.xlsx","au_16277")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0.66666666666666663</v>
      </c>
    </row>
    <row r="44" spans="1:7" x14ac:dyDescent="0.15">
      <c r="A44" t="str">
        <f>HYPERLINK("./new_k5/query_cmdrels_weight_analyze/0.1_0.1_0.8/au_163155.xlsx","au_163155")</f>
        <v>au_163155</v>
      </c>
      <c r="B44">
        <v>0.125</v>
      </c>
      <c r="C44">
        <v>0.125</v>
      </c>
      <c r="D44">
        <v>0.375</v>
      </c>
      <c r="E44">
        <v>0.20833333333333329</v>
      </c>
      <c r="F44">
        <v>0.5</v>
      </c>
      <c r="G44">
        <v>0.30208333333333331</v>
      </c>
    </row>
    <row r="45" spans="1:7" x14ac:dyDescent="0.15">
      <c r="A45" t="str">
        <f>HYPERLINK("./new_k5/query_cmdrels_weight_analyze/0.1_0.1_0.8/au_164473.xlsx","au_164473")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0.04</v>
      </c>
    </row>
    <row r="46" spans="1:7" x14ac:dyDescent="0.15">
      <c r="A46" t="str">
        <f>HYPERLINK("./new_k5/query_cmdrels_weight_analyze/0.1_0.1_0.8/au_16584.xlsx","au_16584")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0.15151515151515149</v>
      </c>
      <c r="F46">
        <v>0.13636363636363641</v>
      </c>
      <c r="G46">
        <v>0.29242424242424242</v>
      </c>
    </row>
    <row r="47" spans="1:7" x14ac:dyDescent="0.15">
      <c r="A47" t="str">
        <f>HYPERLINK("./new_k5/query_cmdrels_weight_analyze/0.1_0.1_0.8/au_166420.xlsx","au_166420")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HYPERLINK("./new_k5/query_cmdrels_weight_analyze/0.1_0.1_0.8/au_169473.xlsx","au_169473")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0.33333333333333331</v>
      </c>
      <c r="F48">
        <v>0.43333333333333329</v>
      </c>
      <c r="G48">
        <v>0.43333333333333329</v>
      </c>
    </row>
    <row r="49" spans="1:7" x14ac:dyDescent="0.15">
      <c r="A49" t="str">
        <f>HYPERLINK("./new_k5/query_cmdrels_weight_analyze/0.1_0.1_0.8/au_169516.xlsx","au_169516")</f>
        <v>au_169516</v>
      </c>
      <c r="B49">
        <v>0.25</v>
      </c>
      <c r="C49">
        <v>0.25</v>
      </c>
      <c r="D49">
        <v>0.25</v>
      </c>
      <c r="E49">
        <v>0.41666666666666657</v>
      </c>
      <c r="F49">
        <v>0.25</v>
      </c>
      <c r="G49">
        <v>0.41666666666666657</v>
      </c>
    </row>
    <row r="50" spans="1:7" x14ac:dyDescent="0.15">
      <c r="A50" t="str">
        <f>HYPERLINK("./new_k5/query_cmdrels_weight_analyze/0.1_0.1_0.8/au_174292.xlsx","au_174292")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0.25</v>
      </c>
    </row>
    <row r="51" spans="1:7" x14ac:dyDescent="0.15">
      <c r="A51" t="str">
        <f>HYPERLINK("./new_k5/query_cmdrels_weight_analyze/0.1_0.1_0.8/au_178481.xlsx","au_178481")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0.8666666666666667</v>
      </c>
    </row>
    <row r="52" spans="1:7" x14ac:dyDescent="0.15">
      <c r="A52" t="str">
        <f>HYPERLINK("./new_k5/query_cmdrels_weight_analyze/0.1_0.1_0.8/au_180925.xlsx","au_180925")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HYPERLINK("./new_k5/query_cmdrels_weight_analyze/0.1_0.1_0.8/au_187888.xlsx","au_187888")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HYPERLINK("./new_k5/query_cmdrels_weight_analyze/0.1_0.1_0.8/au_191390.xlsx","au_191390")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HYPERLINK("./new_k5/query_cmdrels_weight_analyze/0.1_0.1_0.8/au_192798.xlsx","au_192798")</f>
        <v>au_192798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15">
      <c r="A56" t="str">
        <f>HYPERLINK("./new_k5/query_cmdrels_weight_analyze/0.1_0.1_0.8/au_201775.xlsx","au_201775")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0.66666666666666663</v>
      </c>
      <c r="F56">
        <v>0.66666666666666663</v>
      </c>
      <c r="G56">
        <v>0.91666666666666663</v>
      </c>
    </row>
    <row r="57" spans="1:7" x14ac:dyDescent="0.15">
      <c r="A57" t="str">
        <f>HYPERLINK("./new_k5/query_cmdrels_weight_analyze/0.1_0.1_0.8/au_204166.xlsx","au_204166")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0.76</v>
      </c>
    </row>
    <row r="58" spans="1:7" x14ac:dyDescent="0.15">
      <c r="A58" t="str">
        <f>HYPERLINK("./new_k5/query_cmdrels_weight_analyze/0.1_0.1_0.8/au_207447.xlsx","au_207447")</f>
        <v>au_207447</v>
      </c>
      <c r="B58">
        <v>0.33333333333333331</v>
      </c>
      <c r="C58">
        <v>0.33333333333333331</v>
      </c>
      <c r="D58">
        <v>0.33333333333333331</v>
      </c>
      <c r="E58">
        <v>0.33333333333333331</v>
      </c>
      <c r="F58">
        <v>0.33333333333333331</v>
      </c>
      <c r="G58">
        <v>0.33333333333333331</v>
      </c>
    </row>
    <row r="59" spans="1:7" x14ac:dyDescent="0.15">
      <c r="A59" t="str">
        <f>HYPERLINK("./new_k5/query_cmdrels_weight_analyze/0.1_0.1_0.8/au_210680.xlsx","au_210680")</f>
        <v>au_210680</v>
      </c>
      <c r="B59">
        <v>0.2</v>
      </c>
      <c r="C59">
        <v>0.2</v>
      </c>
      <c r="D59">
        <v>0.6</v>
      </c>
      <c r="E59">
        <v>0.4</v>
      </c>
      <c r="F59">
        <v>0.6</v>
      </c>
      <c r="G59">
        <v>0.52</v>
      </c>
    </row>
    <row r="60" spans="1:7" x14ac:dyDescent="0.15">
      <c r="A60" t="str">
        <f>HYPERLINK("./new_k5/query_cmdrels_weight_analyze/0.1_0.1_0.8/au_214246.xlsx","au_214246")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HYPERLINK("./new_k5/query_cmdrels_weight_analyze/0.1_0.1_0.8/au_214643.xlsx","au_214643")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HYPERLINK("./new_k5/query_cmdrels_weight_analyze/0.1_0.1_0.8/au_2194.xlsx","au_2194")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0.14285714285714279</v>
      </c>
    </row>
    <row r="63" spans="1:7" x14ac:dyDescent="0.15">
      <c r="A63" t="str">
        <f>HYPERLINK("./new_k5/query_cmdrels_weight_analyze/0.1_0.1_0.8/au_221962.xlsx","au_221962")</f>
        <v>au_221962</v>
      </c>
      <c r="B63">
        <v>0</v>
      </c>
      <c r="C63">
        <v>0</v>
      </c>
      <c r="D63">
        <v>5.5555555555555552E-2</v>
      </c>
      <c r="E63">
        <v>5.5555555555555552E-2</v>
      </c>
      <c r="F63">
        <v>0.1388888888888889</v>
      </c>
      <c r="G63">
        <v>0.1388888888888889</v>
      </c>
    </row>
    <row r="64" spans="1:7" x14ac:dyDescent="0.15">
      <c r="A64" t="str">
        <f>HYPERLINK("./new_k5/query_cmdrels_weight_analyze/0.1_0.1_0.8/au_22608.xlsx","au_22608")</f>
        <v>au_22608</v>
      </c>
      <c r="B64">
        <v>0.33333333333333331</v>
      </c>
      <c r="C64">
        <v>0</v>
      </c>
      <c r="D64">
        <v>0.33333333333333331</v>
      </c>
      <c r="E64">
        <v>0.16666666666666671</v>
      </c>
      <c r="F64">
        <v>0.33333333333333331</v>
      </c>
      <c r="G64">
        <v>0.33333333333333331</v>
      </c>
    </row>
    <row r="65" spans="1:7" x14ac:dyDescent="0.15">
      <c r="A65" t="str">
        <f>HYPERLINK("./new_k5/query_cmdrels_weight_analyze/0.1_0.1_0.8/au_230698.xlsx","au_230698")</f>
        <v>au_230698</v>
      </c>
      <c r="B65">
        <v>0.125</v>
      </c>
      <c r="C65">
        <v>0.125</v>
      </c>
      <c r="D65">
        <v>0.25</v>
      </c>
      <c r="E65">
        <v>0.20833333333333329</v>
      </c>
      <c r="F65">
        <v>0.32500000000000001</v>
      </c>
      <c r="G65">
        <v>0.28333333333333333</v>
      </c>
    </row>
    <row r="66" spans="1:7" x14ac:dyDescent="0.15">
      <c r="A66" t="str">
        <f>HYPERLINK("./new_k5/query_cmdrels_weight_analyze/0.1_0.1_0.8/au_232442.xlsx","au_232442")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HYPERLINK("./new_k5/query_cmdrels_weight_analyze/0.1_0.1_0.8/au_233378.xlsx","au_233378")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HYPERLINK("./new_k5/query_cmdrels_weight_analyze/0.1_0.1_0.8/au_24027.xlsx","au_24027")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0.33333333333333331</v>
      </c>
    </row>
    <row r="69" spans="1:7" x14ac:dyDescent="0.15">
      <c r="A69" t="str">
        <f>HYPERLINK("./new_k5/query_cmdrels_weight_analyze/0.1_0.1_0.8/au_246647.xlsx","au_246647")</f>
        <v>au_246647</v>
      </c>
      <c r="B69">
        <v>0.125</v>
      </c>
      <c r="C69">
        <v>0.125</v>
      </c>
      <c r="D69">
        <v>0.375</v>
      </c>
      <c r="E69">
        <v>0.375</v>
      </c>
      <c r="F69">
        <v>0.47499999999999998</v>
      </c>
      <c r="G69">
        <v>0.375</v>
      </c>
    </row>
    <row r="70" spans="1:7" x14ac:dyDescent="0.15">
      <c r="A70" t="str">
        <f>HYPERLINK("./new_k5/query_cmdrels_weight_analyze/0.1_0.1_0.8/au_254424.xlsx","au_254424")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HYPERLINK("./new_k5/query_cmdrels_weight_analyze/0.1_0.1_0.8/au_255890.xlsx","au_255890")</f>
        <v>au_255890</v>
      </c>
      <c r="B71">
        <v>0</v>
      </c>
      <c r="C71">
        <v>0</v>
      </c>
      <c r="D71">
        <v>0.25</v>
      </c>
      <c r="E71">
        <v>0.25</v>
      </c>
      <c r="F71">
        <v>0.25</v>
      </c>
      <c r="G71">
        <v>0.25</v>
      </c>
    </row>
    <row r="72" spans="1:7" x14ac:dyDescent="0.15">
      <c r="A72" t="str">
        <f>HYPERLINK("./new_k5/query_cmdrels_weight_analyze/0.1_0.1_0.8/au_257248.xlsx","au_257248")</f>
        <v>au_257248</v>
      </c>
      <c r="B72">
        <v>0</v>
      </c>
      <c r="C72">
        <v>0</v>
      </c>
      <c r="D72">
        <v>0.16666666666666671</v>
      </c>
      <c r="E72">
        <v>7.1428571428571425E-2</v>
      </c>
      <c r="F72">
        <v>0.25238095238095237</v>
      </c>
      <c r="G72">
        <v>0.12857142857142859</v>
      </c>
    </row>
    <row r="73" spans="1:7" x14ac:dyDescent="0.15">
      <c r="A73" t="str">
        <f>HYPERLINK("./new_k5/query_cmdrels_weight_analyze/0.1_0.1_0.8/au_259354.xlsx","au_259354")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0.5714285714285714</v>
      </c>
    </row>
    <row r="74" spans="1:7" x14ac:dyDescent="0.15">
      <c r="A74" t="str">
        <f>HYPERLINK("./new_k5/query_cmdrels_weight_analyze/0.1_0.1_0.8/au_263378.xlsx","au_263378")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0.47499999999999998</v>
      </c>
    </row>
    <row r="75" spans="1:7" x14ac:dyDescent="0.15">
      <c r="A75" t="str">
        <f>HYPERLINK("./new_k5/query_cmdrels_weight_analyze/0.1_0.1_0.8/au_264215.xlsx","au_264215")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HYPERLINK("./new_k5/query_cmdrels_weight_analyze/0.1_0.1_0.8/au_265176.xlsx","au_265176")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HYPERLINK("./new_k5/query_cmdrels_weight_analyze/0.1_0.1_0.8/au_275704.xlsx","au_275704")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HYPERLINK("./new_k5/query_cmdrels_weight_analyze/0.1_0.1_0.8/au_276669.xlsx","au_276669")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HYPERLINK("./new_k5/query_cmdrels_weight_analyze/0.1_0.1_0.8/au_277565.xlsx","au_277565")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HYPERLINK("./new_k5/query_cmdrels_weight_analyze/0.1_0.1_0.8/au_278403.xlsx","au_278403")</f>
        <v>au_278403</v>
      </c>
      <c r="B80">
        <v>0</v>
      </c>
      <c r="C80">
        <v>0</v>
      </c>
      <c r="D80">
        <v>8.3333333333333329E-2</v>
      </c>
      <c r="E80">
        <v>8.3333333333333329E-2</v>
      </c>
      <c r="F80">
        <v>0.20833333333333329</v>
      </c>
      <c r="G80">
        <v>0.20833333333333329</v>
      </c>
    </row>
    <row r="81" spans="1:7" x14ac:dyDescent="0.15">
      <c r="A81" t="str">
        <f>HYPERLINK("./new_k5/query_cmdrels_weight_analyze/0.1_0.1_0.8/au_28039.xlsx","au_28039")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15">
      <c r="A82" t="str">
        <f>HYPERLINK("./new_k5/query_cmdrels_weight_analyze/0.1_0.1_0.8/au_281509.xlsx","au_281509")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HYPERLINK("./new_k5/query_cmdrels_weight_analyze/0.1_0.1_0.8/au_282806.xlsx","au_282806")</f>
        <v>au_282806</v>
      </c>
      <c r="B83">
        <v>0</v>
      </c>
      <c r="C83">
        <v>0</v>
      </c>
      <c r="D83">
        <v>0.38888888888888878</v>
      </c>
      <c r="E83">
        <v>0.16666666666666671</v>
      </c>
      <c r="F83">
        <v>0.38888888888888878</v>
      </c>
      <c r="G83">
        <v>0.33333333333333331</v>
      </c>
    </row>
    <row r="84" spans="1:7" x14ac:dyDescent="0.15">
      <c r="A84" t="str">
        <f>HYPERLINK("./new_k5/query_cmdrels_weight_analyze/0.1_0.1_0.8/au_283559.xlsx","au_283559")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HYPERLINK("./new_k5/query_cmdrels_weight_analyze/0.1_0.1_0.8/au_285539.xlsx","au_285539")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HYPERLINK("./new_k5/query_cmdrels_weight_analyze/0.1_0.1_0.8/au_287532.xlsx","au_287532")</f>
        <v>au_287532</v>
      </c>
      <c r="B86">
        <v>0</v>
      </c>
      <c r="C86">
        <v>0</v>
      </c>
      <c r="D86">
        <v>0</v>
      </c>
      <c r="E86">
        <v>0.125</v>
      </c>
      <c r="F86">
        <v>0</v>
      </c>
      <c r="G86">
        <v>0.125</v>
      </c>
    </row>
    <row r="87" spans="1:7" x14ac:dyDescent="0.15">
      <c r="A87" t="str">
        <f>HYPERLINK("./new_k5/query_cmdrels_weight_analyze/0.1_0.1_0.8/au_294257.xlsx","au_294257")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HYPERLINK("./new_k5/query_cmdrels_weight_analyze/0.1_0.1_0.8/au_296155.xlsx","au_296155")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HYPERLINK("./new_k5/query_cmdrels_weight_analyze/0.1_0.1_0.8/au_299975.xlsx","au_299975")</f>
        <v>au_299975</v>
      </c>
      <c r="B89">
        <v>0.25</v>
      </c>
      <c r="C89">
        <v>0</v>
      </c>
      <c r="D89">
        <v>0.5</v>
      </c>
      <c r="E89">
        <v>0</v>
      </c>
      <c r="F89">
        <v>0.6875</v>
      </c>
      <c r="G89">
        <v>6.25E-2</v>
      </c>
    </row>
    <row r="90" spans="1:7" x14ac:dyDescent="0.15">
      <c r="A90" t="str">
        <f>HYPERLINK("./new_k5/query_cmdrels_weight_analyze/0.1_0.1_0.8/au_301096.xlsx","au_301096")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HYPERLINK("./new_k5/query_cmdrels_weight_analyze/0.1_0.1_0.8/au_303593.xlsx","au_303593")</f>
        <v>au_303593</v>
      </c>
      <c r="B91">
        <v>0.25</v>
      </c>
      <c r="C91">
        <v>0.25</v>
      </c>
      <c r="D91">
        <v>0.5</v>
      </c>
      <c r="E91">
        <v>0.25</v>
      </c>
      <c r="F91">
        <v>0.5</v>
      </c>
      <c r="G91">
        <v>0.375</v>
      </c>
    </row>
    <row r="92" spans="1:7" x14ac:dyDescent="0.15">
      <c r="A92" t="str">
        <f>HYPERLINK("./new_k5/query_cmdrels_weight_analyze/0.1_0.1_0.8/au_303849.xlsx","au_303849")</f>
        <v>au_303849</v>
      </c>
      <c r="B92">
        <v>0.1111111111111111</v>
      </c>
      <c r="C92">
        <v>0</v>
      </c>
      <c r="D92">
        <v>0.1111111111111111</v>
      </c>
      <c r="E92">
        <v>3.7037037037037028E-2</v>
      </c>
      <c r="F92">
        <v>0.1111111111111111</v>
      </c>
      <c r="G92">
        <v>9.2592592592592587E-2</v>
      </c>
    </row>
    <row r="93" spans="1:7" x14ac:dyDescent="0.15">
      <c r="A93" t="str">
        <f>HYPERLINK("./new_k5/query_cmdrels_weight_analyze/0.1_0.1_0.8/au_307541.xlsx","au_307541")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HYPERLINK("./new_k5/query_cmdrels_weight_analyze/0.1_0.1_0.8/au_307688.xlsx","au_307688")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0.3</v>
      </c>
    </row>
    <row r="95" spans="1:7" x14ac:dyDescent="0.15">
      <c r="A95" t="str">
        <f>HYPERLINK("./new_k5/query_cmdrels_weight_analyze/0.1_0.1_0.8/au_309047.xlsx","au_309047")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HYPERLINK("./new_k5/query_cmdrels_weight_analyze/0.1_0.1_0.8/au_311558.xlsx","au_311558")</f>
        <v>au_311558</v>
      </c>
      <c r="B96">
        <v>0</v>
      </c>
      <c r="C96">
        <v>0.25</v>
      </c>
      <c r="D96">
        <v>0.29166666666666657</v>
      </c>
      <c r="E96">
        <v>0.25</v>
      </c>
      <c r="F96">
        <v>0.29166666666666657</v>
      </c>
      <c r="G96">
        <v>0.52500000000000002</v>
      </c>
    </row>
    <row r="97" spans="1:7" x14ac:dyDescent="0.15">
      <c r="A97" t="str">
        <f>HYPERLINK("./new_k5/query_cmdrels_weight_analyze/0.1_0.1_0.8/au_318973.xlsx","au_318973")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0.5</v>
      </c>
    </row>
    <row r="98" spans="1:7" x14ac:dyDescent="0.15">
      <c r="A98" t="str">
        <f>HYPERLINK("./new_k5/query_cmdrels_weight_analyze/0.1_0.1_0.8/au_3205.xlsx","au_3205")</f>
        <v>au_3205</v>
      </c>
      <c r="B98">
        <v>0.5</v>
      </c>
      <c r="C98">
        <v>0</v>
      </c>
      <c r="D98">
        <v>0.5</v>
      </c>
      <c r="E98">
        <v>0.25</v>
      </c>
      <c r="F98">
        <v>0.5</v>
      </c>
      <c r="G98">
        <v>0.45</v>
      </c>
    </row>
    <row r="99" spans="1:7" x14ac:dyDescent="0.15">
      <c r="A99" t="str">
        <f>HYPERLINK("./new_k5/query_cmdrels_weight_analyze/0.1_0.1_0.8/au_323131.xlsx","au_323131")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HYPERLINK("./new_k5/query_cmdrels_weight_analyze/0.1_0.1_0.8/au_323392.xlsx","au_323392")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HYPERLINK("./new_k5/query_cmdrels_weight_analyze/0.1_0.1_0.8/au_325368.xlsx","au_325368")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HYPERLINK("./new_k5/query_cmdrels_weight_analyze/0.1_0.1_0.8/au_328162.xlsx","au_328162")</f>
        <v>au_328162</v>
      </c>
      <c r="B102">
        <v>0.33333333333333331</v>
      </c>
      <c r="C102">
        <v>0.33333333333333331</v>
      </c>
      <c r="D102">
        <v>1</v>
      </c>
      <c r="E102">
        <v>0.66666666666666663</v>
      </c>
      <c r="F102">
        <v>1</v>
      </c>
      <c r="G102">
        <v>0.66666666666666663</v>
      </c>
    </row>
    <row r="103" spans="1:7" x14ac:dyDescent="0.15">
      <c r="A103" t="str">
        <f>HYPERLINK("./new_k5/query_cmdrels_weight_analyze/0.1_0.1_0.8/au_330148.xlsx","au_330148")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0.52</v>
      </c>
    </row>
    <row r="104" spans="1:7" x14ac:dyDescent="0.15">
      <c r="A104" t="str">
        <f>HYPERLINK("./new_k5/query_cmdrels_weight_analyze/0.1_0.1_0.8/au_332315.xlsx","au_332315")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HYPERLINK("./new_k5/query_cmdrels_weight_analyze/0.1_0.1_0.8/au_334081.xlsx","au_334081")</f>
        <v>au_334081</v>
      </c>
      <c r="B105">
        <v>0.25</v>
      </c>
      <c r="C105">
        <v>0.25</v>
      </c>
      <c r="D105">
        <v>0.41666666666666657</v>
      </c>
      <c r="E105">
        <v>0.41666666666666657</v>
      </c>
      <c r="F105">
        <v>0.41666666666666657</v>
      </c>
      <c r="G105">
        <v>0.56666666666666665</v>
      </c>
    </row>
    <row r="106" spans="1:7" x14ac:dyDescent="0.15">
      <c r="A106" t="str">
        <f>HYPERLINK("./new_k5/query_cmdrels_weight_analyze/0.1_0.1_0.8/au_34077.xlsx","au_34077")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0.5</v>
      </c>
      <c r="F106">
        <v>0.33333333333333331</v>
      </c>
      <c r="G106">
        <v>0.5</v>
      </c>
    </row>
    <row r="107" spans="1:7" x14ac:dyDescent="0.15">
      <c r="A107" t="str">
        <f>HYPERLINK("./new_k5/query_cmdrels_weight_analyze/0.1_0.1_0.8/au_341428.xlsx","au_341428")</f>
        <v>au_341428</v>
      </c>
      <c r="B107">
        <v>0.14285714285714279</v>
      </c>
      <c r="C107">
        <v>0</v>
      </c>
      <c r="D107">
        <v>0.42857142857142849</v>
      </c>
      <c r="E107">
        <v>0.16666666666666671</v>
      </c>
      <c r="F107">
        <v>0.5714285714285714</v>
      </c>
      <c r="G107">
        <v>0.25238095238095237</v>
      </c>
    </row>
    <row r="108" spans="1:7" x14ac:dyDescent="0.15">
      <c r="A108" t="str">
        <f>HYPERLINK("./new_k5/query_cmdrels_weight_analyze/0.1_0.1_0.8/au_341584.xlsx","au_341584")</f>
        <v>au_341584</v>
      </c>
      <c r="B108">
        <v>0.25</v>
      </c>
      <c r="C108">
        <v>0.25</v>
      </c>
      <c r="D108">
        <v>0.5</v>
      </c>
      <c r="E108">
        <v>0.25</v>
      </c>
      <c r="F108">
        <v>0.5</v>
      </c>
      <c r="G108">
        <v>0.25</v>
      </c>
    </row>
    <row r="109" spans="1:7" x14ac:dyDescent="0.15">
      <c r="A109" t="str">
        <f>HYPERLINK("./new_k5/query_cmdrels_weight_analyze/0.1_0.1_0.8/au_346864.xlsx","au_346864")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0.2857142857142857</v>
      </c>
      <c r="F109">
        <v>0.23809523809523811</v>
      </c>
      <c r="G109">
        <v>0.39285714285714279</v>
      </c>
    </row>
    <row r="110" spans="1:7" x14ac:dyDescent="0.15">
      <c r="A110" t="str">
        <f>HYPERLINK("./new_k5/query_cmdrels_weight_analyze/0.1_0.1_0.8/au_351765.xlsx","au_351765")</f>
        <v>au_351765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15">
      <c r="A111" t="str">
        <f>HYPERLINK("./new_k5/query_cmdrels_weight_analyze/0.1_0.1_0.8/au_35922.xlsx","au_35922")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HYPERLINK("./new_k5/query_cmdrels_weight_analyze/0.1_0.1_0.8/au_359856.xlsx","au_359856")</f>
        <v>au_359856</v>
      </c>
      <c r="B112">
        <v>0.25</v>
      </c>
      <c r="C112">
        <v>0.25</v>
      </c>
      <c r="D112">
        <v>0.75</v>
      </c>
      <c r="E112">
        <v>0.75</v>
      </c>
      <c r="F112">
        <v>0.95</v>
      </c>
      <c r="G112">
        <v>0.75</v>
      </c>
    </row>
    <row r="113" spans="1:7" x14ac:dyDescent="0.15">
      <c r="A113" t="str">
        <f>HYPERLINK("./new_k5/query_cmdrels_weight_analyze/0.1_0.1_0.8/au_360423.xlsx","au_360423")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HYPERLINK("./new_k5/query_cmdrels_weight_analyze/0.1_0.1_0.8/au_36287.xlsx","au_36287")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HYPERLINK("./new_k5/query_cmdrels_weight_analyze/0.1_0.1_0.8/au_366742.xlsx","au_366742")</f>
        <v>au_366742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0.05</v>
      </c>
    </row>
    <row r="116" spans="1:7" x14ac:dyDescent="0.15">
      <c r="A116" t="str">
        <f>HYPERLINK("./new_k5/query_cmdrels_weight_analyze/0.1_0.1_0.8/au_377937.xlsx","au_377937")</f>
        <v>au_377937</v>
      </c>
      <c r="B116">
        <v>0.25</v>
      </c>
      <c r="C116">
        <v>0.25</v>
      </c>
      <c r="D116">
        <v>0.5</v>
      </c>
      <c r="E116">
        <v>0.75</v>
      </c>
      <c r="F116">
        <v>0.5</v>
      </c>
      <c r="G116">
        <v>0.75</v>
      </c>
    </row>
    <row r="117" spans="1:7" x14ac:dyDescent="0.15">
      <c r="A117" t="str">
        <f>HYPERLINK("./new_k5/query_cmdrels_weight_analyze/0.1_0.1_0.8/au_383997.xlsx","au_383997")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0.50714285714285712</v>
      </c>
    </row>
    <row r="118" spans="1:7" x14ac:dyDescent="0.15">
      <c r="A118" t="str">
        <f>HYPERLINK("./new_k5/query_cmdrels_weight_analyze/0.1_0.1_0.8/au_3883.xlsx","au_3883")</f>
        <v>au_3883</v>
      </c>
      <c r="B118">
        <v>0.25</v>
      </c>
      <c r="C118">
        <v>0.25</v>
      </c>
      <c r="D118">
        <v>0.25</v>
      </c>
      <c r="E118">
        <v>0.41666666666666657</v>
      </c>
      <c r="F118">
        <v>0.375</v>
      </c>
      <c r="G118">
        <v>0.41666666666666657</v>
      </c>
    </row>
    <row r="119" spans="1:7" x14ac:dyDescent="0.15">
      <c r="A119" t="str">
        <f>HYPERLINK("./new_k5/query_cmdrels_weight_analyze/0.1_0.1_0.8/au_396883.xlsx","au_396883")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HYPERLINK("./new_k5/query_cmdrels_weight_analyze/0.1_0.1_0.8/au_39760.xlsx","au_39760")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HYPERLINK("./new_k5/query_cmdrels_weight_analyze/0.1_0.1_0.8/au_398818.xlsx","au_398818")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HYPERLINK("./new_k5/query_cmdrels_weight_analyze/0.1_0.1_0.8/au_400807.xlsx","au_400807")</f>
        <v>au_400807</v>
      </c>
      <c r="B122">
        <v>0</v>
      </c>
      <c r="C122">
        <v>0.33333333333333331</v>
      </c>
      <c r="D122">
        <v>0.16666666666666671</v>
      </c>
      <c r="E122">
        <v>0.55555555555555547</v>
      </c>
      <c r="F122">
        <v>0.16666666666666671</v>
      </c>
      <c r="G122">
        <v>0.80555555555555547</v>
      </c>
    </row>
    <row r="123" spans="1:7" x14ac:dyDescent="0.15">
      <c r="A123" t="str">
        <f>HYPERLINK("./new_k5/query_cmdrels_weight_analyze/0.1_0.1_0.8/au_408611.xlsx","au_408611")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HYPERLINK("./new_k5/query_cmdrels_weight_analyze/0.1_0.1_0.8/au_414737.xlsx","au_414737")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HYPERLINK("./new_k5/query_cmdrels_weight_analyze/0.1_0.1_0.8/au_420722.xlsx","au_420722")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HYPERLINK("./new_k5/query_cmdrels_weight_analyze/0.1_0.1_0.8/au_423942.xlsx","au_423942")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0.33333333333333331</v>
      </c>
      <c r="F126">
        <v>0.8666666666666667</v>
      </c>
      <c r="G126">
        <v>0.5</v>
      </c>
    </row>
    <row r="127" spans="1:7" x14ac:dyDescent="0.15">
      <c r="A127" t="str">
        <f>HYPERLINK("./new_k5/query_cmdrels_weight_analyze/0.1_0.1_0.8/au_430382.xlsx","au_430382")</f>
        <v>au_430382</v>
      </c>
      <c r="B127">
        <v>0</v>
      </c>
      <c r="C127">
        <v>0.25</v>
      </c>
      <c r="D127">
        <v>0.29166666666666657</v>
      </c>
      <c r="E127">
        <v>0.25</v>
      </c>
      <c r="F127">
        <v>0.29166666666666657</v>
      </c>
      <c r="G127">
        <v>0.35</v>
      </c>
    </row>
    <row r="128" spans="1:7" x14ac:dyDescent="0.15">
      <c r="A128" t="str">
        <f>HYPERLINK("./new_k5/query_cmdrels_weight_analyze/0.1_0.1_0.8/au_432836.xlsx","au_432836")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0.23809523809523811</v>
      </c>
      <c r="F128">
        <v>0.2142857142857143</v>
      </c>
      <c r="G128">
        <v>0.23809523809523811</v>
      </c>
    </row>
    <row r="129" spans="1:7" x14ac:dyDescent="0.15">
      <c r="A129" t="str">
        <f>HYPERLINK("./new_k5/query_cmdrels_weight_analyze/0.1_0.1_0.8/au_440326.xlsx","au_440326")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HYPERLINK("./new_k5/query_cmdrels_weight_analyze/0.1_0.1_0.8/au_442914.xlsx","au_442914")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HYPERLINK("./new_k5/query_cmdrels_weight_analyze/0.1_0.1_0.8/au_443227.xlsx","au_443227")</f>
        <v>au_443227</v>
      </c>
      <c r="B131">
        <v>0.5</v>
      </c>
      <c r="C131">
        <v>0</v>
      </c>
      <c r="D131">
        <v>0.5</v>
      </c>
      <c r="E131">
        <v>0.25</v>
      </c>
      <c r="F131">
        <v>0.5</v>
      </c>
      <c r="G131">
        <v>0.25</v>
      </c>
    </row>
    <row r="132" spans="1:7" x14ac:dyDescent="0.15">
      <c r="A132" t="str">
        <f>HYPERLINK("./new_k5/query_cmdrels_weight_analyze/0.1_0.1_0.8/au_44534.xlsx","au_44534")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0.3666666666666667</v>
      </c>
    </row>
    <row r="133" spans="1:7" x14ac:dyDescent="0.15">
      <c r="A133" t="str">
        <f>HYPERLINK("./new_k5/query_cmdrels_weight_analyze/0.1_0.1_0.8/au_451805.xlsx","au_451805")</f>
        <v>au_451805</v>
      </c>
      <c r="B133">
        <v>0.33333333333333331</v>
      </c>
      <c r="C133">
        <v>0</v>
      </c>
      <c r="D133">
        <v>0.33333333333333331</v>
      </c>
      <c r="E133">
        <v>0.16666666666666671</v>
      </c>
      <c r="F133">
        <v>0.33333333333333331</v>
      </c>
      <c r="G133">
        <v>0.16666666666666671</v>
      </c>
    </row>
    <row r="134" spans="1:7" x14ac:dyDescent="0.15">
      <c r="A134" t="str">
        <f>HYPERLINK("./new_k5/query_cmdrels_weight_analyze/0.1_0.1_0.8/au_464264.xlsx","au_464264")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6.6666666666666666E-2</v>
      </c>
    </row>
    <row r="135" spans="1:7" x14ac:dyDescent="0.15">
      <c r="A135" t="str">
        <f>HYPERLINK("./new_k5/query_cmdrels_weight_analyze/0.1_0.1_0.8/au_468808.xlsx","au_468808")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HYPERLINK("./new_k5/query_cmdrels_weight_analyze/0.1_0.1_0.8/au_469143.xlsx","au_469143")</f>
        <v>au_469143</v>
      </c>
      <c r="B136">
        <v>0.2</v>
      </c>
      <c r="C136">
        <v>0.2</v>
      </c>
      <c r="D136">
        <v>0.33333333333333331</v>
      </c>
      <c r="E136">
        <v>0.4</v>
      </c>
      <c r="F136">
        <v>0.33333333333333331</v>
      </c>
      <c r="G136">
        <v>0.52</v>
      </c>
    </row>
    <row r="137" spans="1:7" x14ac:dyDescent="0.15">
      <c r="A137" t="str">
        <f>HYPERLINK("./new_k5/query_cmdrels_weight_analyze/0.1_0.1_0.8/au_470237.xlsx","au_470237")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HYPERLINK("./new_k5/query_cmdrels_weight_analyze/0.1_0.1_0.8/au_473037.xlsx","au_473037")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</v>
      </c>
    </row>
    <row r="139" spans="1:7" x14ac:dyDescent="0.15">
      <c r="A139" t="str">
        <f>HYPERLINK("./new_k5/query_cmdrels_weight_analyze/0.1_0.1_0.8/au_48362.xlsx","au_48362")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HYPERLINK("./new_k5/query_cmdrels_weight_analyze/0.1_0.1_0.8/au_488435.xlsx","au_488435")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HYPERLINK("./new_k5/query_cmdrels_weight_analyze/0.1_0.1_0.8/au_493826.xlsx","au_493826")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HYPERLINK("./new_k5/query_cmdrels_weight_analyze/0.1_0.1_0.8/au_502110.xlsx","au_502110")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HYPERLINK("./new_k5/query_cmdrels_weight_analyze/0.1_0.1_0.8/au_50344.xlsx","au_50344")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HYPERLINK("./new_k5/query_cmdrels_weight_analyze/0.1_0.1_0.8/au_511467.xlsx","au_511467")</f>
        <v>au_511467</v>
      </c>
      <c r="B144">
        <v>0</v>
      </c>
      <c r="C144">
        <v>0</v>
      </c>
      <c r="D144">
        <v>0.19444444444444439</v>
      </c>
      <c r="E144">
        <v>8.3333333333333329E-2</v>
      </c>
      <c r="F144">
        <v>0.19444444444444439</v>
      </c>
      <c r="G144">
        <v>8.3333333333333329E-2</v>
      </c>
    </row>
    <row r="145" spans="1:7" x14ac:dyDescent="0.15">
      <c r="A145" t="str">
        <f>HYPERLINK("./new_k5/query_cmdrels_weight_analyze/0.1_0.1_0.8/au_513046.xlsx","au_513046")</f>
        <v>au_513046</v>
      </c>
      <c r="B145">
        <v>0.25</v>
      </c>
      <c r="C145">
        <v>0</v>
      </c>
      <c r="D145">
        <v>0.5</v>
      </c>
      <c r="E145">
        <v>0.29166666666666657</v>
      </c>
      <c r="F145">
        <v>0.5</v>
      </c>
      <c r="G145">
        <v>0.47916666666666657</v>
      </c>
    </row>
    <row r="146" spans="1:7" x14ac:dyDescent="0.15">
      <c r="A146" t="str">
        <f>HYPERLINK("./new_k5/query_cmdrels_weight_analyze/0.1_0.1_0.8/au_517354.xlsx","au_517354")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0.14285714285714279</v>
      </c>
      <c r="F146">
        <v>0.2142857142857143</v>
      </c>
      <c r="G146">
        <v>0.2142857142857143</v>
      </c>
    </row>
    <row r="147" spans="1:7" x14ac:dyDescent="0.15">
      <c r="A147" t="str">
        <f>HYPERLINK("./new_k5/query_cmdrels_weight_analyze/0.1_0.1_0.8/au_522431.xlsx","au_522431")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0.23333333333333331</v>
      </c>
    </row>
    <row r="148" spans="1:7" x14ac:dyDescent="0.15">
      <c r="A148" t="str">
        <f>HYPERLINK("./new_k5/query_cmdrels_weight_analyze/0.1_0.1_0.8/au_52773.xlsx","au_52773")</f>
        <v>au_52773</v>
      </c>
      <c r="B148">
        <v>0</v>
      </c>
      <c r="C148">
        <v>0.2</v>
      </c>
      <c r="D148">
        <v>0.23333333333333331</v>
      </c>
      <c r="E148">
        <v>0.33333333333333331</v>
      </c>
      <c r="F148">
        <v>0.23333333333333331</v>
      </c>
      <c r="G148">
        <v>0.33333333333333331</v>
      </c>
    </row>
    <row r="149" spans="1:7" x14ac:dyDescent="0.15">
      <c r="A149" t="str">
        <f>HYPERLINK("./new_k5/query_cmdrels_weight_analyze/0.1_0.1_0.8/au_528411.xlsx","au_528411")</f>
        <v>au_528411</v>
      </c>
      <c r="B149">
        <v>0</v>
      </c>
      <c r="C149">
        <v>0.5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HYPERLINK("./new_k5/query_cmdrels_weight_analyze/0.1_0.1_0.8/au_53263.xlsx","au_53263")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0.75</v>
      </c>
    </row>
    <row r="151" spans="1:7" x14ac:dyDescent="0.15">
      <c r="A151" t="str">
        <f>HYPERLINK("./new_k5/query_cmdrels_weight_analyze/0.1_0.1_0.8/au_53444.xlsx","au_53444")</f>
        <v>au_53444</v>
      </c>
      <c r="B151">
        <v>0.5</v>
      </c>
      <c r="C151">
        <v>0</v>
      </c>
      <c r="D151">
        <v>0.5</v>
      </c>
      <c r="E151">
        <v>0</v>
      </c>
      <c r="F151">
        <v>0.5</v>
      </c>
      <c r="G151">
        <v>0</v>
      </c>
    </row>
    <row r="152" spans="1:7" x14ac:dyDescent="0.15">
      <c r="A152" t="str">
        <f>HYPERLINK("./new_k5/query_cmdrels_weight_analyze/0.1_0.1_0.8/au_538208.xlsx","au_538208")</f>
        <v>au_538208</v>
      </c>
      <c r="B152">
        <v>0.125</v>
      </c>
      <c r="C152">
        <v>0.125</v>
      </c>
      <c r="D152">
        <v>0.375</v>
      </c>
      <c r="E152">
        <v>0.375</v>
      </c>
      <c r="F152">
        <v>0.5</v>
      </c>
      <c r="G152">
        <v>0.47499999999999998</v>
      </c>
    </row>
    <row r="153" spans="1:7" x14ac:dyDescent="0.15">
      <c r="A153" t="str">
        <f>HYPERLINK("./new_k5/query_cmdrels_weight_analyze/0.1_0.1_0.8/au_53822.xlsx","au_53822")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HYPERLINK("./new_k5/query_cmdrels_weight_analyze/0.1_0.1_0.8/au_539243.xlsx","au_539243")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0.33333333333333331</v>
      </c>
    </row>
    <row r="155" spans="1:7" x14ac:dyDescent="0.15">
      <c r="A155" t="str">
        <f>HYPERLINK("./new_k5/query_cmdrels_weight_analyze/0.1_0.1_0.8/au_558280.xlsx","au_558280")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0.63888888888888884</v>
      </c>
    </row>
    <row r="156" spans="1:7" x14ac:dyDescent="0.15">
      <c r="A156" t="str">
        <f>HYPERLINK("./new_k5/query_cmdrels_weight_analyze/0.1_0.1_0.8/au_558669.xlsx","au_558669")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HYPERLINK("./new_k5/query_cmdrels_weight_analyze/0.1_0.1_0.8/au_55868.xlsx","au_55868")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0.21296296296296291</v>
      </c>
    </row>
    <row r="158" spans="1:7" x14ac:dyDescent="0.15">
      <c r="A158" t="str">
        <f>HYPERLINK("./new_k5/query_cmdrels_weight_analyze/0.1_0.1_0.8/au_561.xlsx","au_561")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0.5</v>
      </c>
    </row>
    <row r="159" spans="1:7" x14ac:dyDescent="0.15">
      <c r="A159" t="str">
        <f>HYPERLINK("./new_k5/query_cmdrels_weight_analyze/0.1_0.1_0.8/au_564567.xlsx","au_564567")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HYPERLINK("./new_k5/query_cmdrels_weight_analyze/0.1_0.1_0.8/au_57994.xlsx","au_57994")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0.54285714285714282</v>
      </c>
    </row>
    <row r="161" spans="1:7" x14ac:dyDescent="0.15">
      <c r="A161" t="str">
        <f>HYPERLINK("./new_k5/query_cmdrels_weight_analyze/0.1_0.1_0.8/au_589210.xlsx","au_589210")</f>
        <v>au_589210</v>
      </c>
      <c r="B161">
        <v>0.25</v>
      </c>
      <c r="C161">
        <v>0.25</v>
      </c>
      <c r="D161">
        <v>0.5</v>
      </c>
      <c r="E161">
        <v>0.5</v>
      </c>
      <c r="F161">
        <v>0.5</v>
      </c>
      <c r="G161">
        <v>0.5</v>
      </c>
    </row>
    <row r="162" spans="1:7" x14ac:dyDescent="0.15">
      <c r="A162" t="str">
        <f>HYPERLINK("./new_k5/query_cmdrels_weight_analyze/0.1_0.1_0.8/au_5911.xlsx","au_5911")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HYPERLINK("./new_k5/query_cmdrels_weight_analyze/0.1_0.1_0.8/au_59356.xlsx","au_59356")</f>
        <v>au_59356</v>
      </c>
      <c r="B163">
        <v>0</v>
      </c>
      <c r="C163">
        <v>0</v>
      </c>
      <c r="D163">
        <v>0.16666666666666671</v>
      </c>
      <c r="E163">
        <v>0.25</v>
      </c>
      <c r="F163">
        <v>0.16666666666666671</v>
      </c>
      <c r="G163">
        <v>0.25</v>
      </c>
    </row>
    <row r="164" spans="1:7" x14ac:dyDescent="0.15">
      <c r="A164" t="str">
        <f>HYPERLINK("./new_k5/query_cmdrels_weight_analyze/0.1_0.1_0.8/au_609850.xlsx","au_609850")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HYPERLINK("./new_k5/query_cmdrels_weight_analyze/0.1_0.1_0.8/au_61408.xlsx","au_61408")</f>
        <v>au_61408</v>
      </c>
      <c r="B165">
        <v>0</v>
      </c>
      <c r="C165">
        <v>0.33333333333333331</v>
      </c>
      <c r="D165">
        <v>0.16666666666666671</v>
      </c>
      <c r="E165">
        <v>0.55555555555555547</v>
      </c>
      <c r="F165">
        <v>0.16666666666666671</v>
      </c>
      <c r="G165">
        <v>0.55555555555555547</v>
      </c>
    </row>
    <row r="166" spans="1:7" x14ac:dyDescent="0.15">
      <c r="A166" t="str">
        <f>HYPERLINK("./new_k5/query_cmdrels_weight_analyze/0.1_0.1_0.8/au_617850.xlsx","au_617850")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HYPERLINK("./new_k5/query_cmdrels_weight_analyze/0.1_0.1_0.8/au_62073.xlsx","au_62073")</f>
        <v>au_62073</v>
      </c>
      <c r="B167">
        <v>0</v>
      </c>
      <c r="C167">
        <v>0.2</v>
      </c>
      <c r="D167">
        <v>0.23333333333333331</v>
      </c>
      <c r="E167">
        <v>0.33333333333333331</v>
      </c>
      <c r="F167">
        <v>0.23333333333333331</v>
      </c>
      <c r="G167">
        <v>0.33333333333333331</v>
      </c>
    </row>
    <row r="168" spans="1:7" x14ac:dyDescent="0.15">
      <c r="A168" t="str">
        <f>HYPERLINK("./new_k5/query_cmdrels_weight_analyze/0.1_0.1_0.8/au_620930.xlsx","au_620930")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0.48333333333333328</v>
      </c>
    </row>
    <row r="169" spans="1:7" x14ac:dyDescent="0.15">
      <c r="A169" t="str">
        <f>HYPERLINK("./new_k5/query_cmdrels_weight_analyze/0.1_0.1_0.8/au_62492.xlsx","au_62492")</f>
        <v>au_62492</v>
      </c>
      <c r="B169">
        <v>0.2</v>
      </c>
      <c r="C169">
        <v>0.2</v>
      </c>
      <c r="D169">
        <v>0.33333333333333331</v>
      </c>
      <c r="E169">
        <v>0.6</v>
      </c>
      <c r="F169">
        <v>0.48333333333333328</v>
      </c>
      <c r="G169">
        <v>0.8</v>
      </c>
    </row>
    <row r="170" spans="1:7" x14ac:dyDescent="0.15">
      <c r="A170" t="str">
        <f>HYPERLINK("./new_k5/query_cmdrels_weight_analyze/0.1_0.1_0.8/au_626078.xlsx","au_626078")</f>
        <v>au_626078</v>
      </c>
      <c r="B170">
        <v>0.33333333333333331</v>
      </c>
      <c r="C170">
        <v>0.33333333333333331</v>
      </c>
      <c r="D170">
        <v>0.66666666666666663</v>
      </c>
      <c r="E170">
        <v>0.33333333333333331</v>
      </c>
      <c r="F170">
        <v>0.66666666666666663</v>
      </c>
      <c r="G170">
        <v>0.33333333333333331</v>
      </c>
    </row>
    <row r="171" spans="1:7" x14ac:dyDescent="0.15">
      <c r="A171" t="str">
        <f>HYPERLINK("./new_k5/query_cmdrels_weight_analyze/0.1_0.1_0.8/au_636944.xlsx","au_636944")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HYPERLINK("./new_k5/query_cmdrels_weight_analyze/0.1_0.1_0.8/au_648603.xlsx","au_648603")</f>
        <v>au_648603</v>
      </c>
      <c r="B172">
        <v>0.25</v>
      </c>
      <c r="C172">
        <v>0.25</v>
      </c>
      <c r="D172">
        <v>0.25</v>
      </c>
      <c r="E172">
        <v>0.41666666666666657</v>
      </c>
      <c r="F172">
        <v>0.25</v>
      </c>
      <c r="G172">
        <v>0.56666666666666665</v>
      </c>
    </row>
    <row r="173" spans="1:7" x14ac:dyDescent="0.15">
      <c r="A173" t="str">
        <f>HYPERLINK("./new_k5/query_cmdrels_weight_analyze/0.1_0.1_0.8/au_65331.xlsx","au_65331")</f>
        <v>au_65331</v>
      </c>
      <c r="B173">
        <v>0</v>
      </c>
      <c r="C173">
        <v>0.16666666666666671</v>
      </c>
      <c r="D173">
        <v>8.3333333333333329E-2</v>
      </c>
      <c r="E173">
        <v>0.27777777777777768</v>
      </c>
      <c r="F173">
        <v>0.16666666666666671</v>
      </c>
      <c r="G173">
        <v>0.27777777777777768</v>
      </c>
    </row>
    <row r="174" spans="1:7" x14ac:dyDescent="0.15">
      <c r="A174" t="str">
        <f>HYPERLINK("./new_k5/query_cmdrels_weight_analyze/0.1_0.1_0.8/au_66000.xlsx","au_66000")</f>
        <v>au_66000</v>
      </c>
      <c r="B174">
        <v>0</v>
      </c>
      <c r="C174">
        <v>0.2</v>
      </c>
      <c r="D174">
        <v>0</v>
      </c>
      <c r="E174">
        <v>0.2</v>
      </c>
      <c r="F174">
        <v>0</v>
      </c>
      <c r="G174">
        <v>0.28000000000000003</v>
      </c>
    </row>
    <row r="175" spans="1:7" x14ac:dyDescent="0.15">
      <c r="A175" t="str">
        <f>HYPERLINK("./new_k5/query_cmdrels_weight_analyze/0.1_0.1_0.8/au_660846.xlsx","au_660846")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HYPERLINK("./new_k5/query_cmdrels_weight_analyze/0.1_0.1_0.8/au_662935.xlsx","au_662935")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0.25</v>
      </c>
    </row>
    <row r="177" spans="1:7" x14ac:dyDescent="0.15">
      <c r="A177" t="str">
        <f>HYPERLINK("./new_k5/query_cmdrels_weight_analyze/0.1_0.1_0.8/au_67663.xlsx","au_67663")</f>
        <v>au_67663</v>
      </c>
      <c r="B177">
        <v>0</v>
      </c>
      <c r="C177">
        <v>0.25</v>
      </c>
      <c r="D177">
        <v>0.29166666666666657</v>
      </c>
      <c r="E177">
        <v>0.5</v>
      </c>
      <c r="F177">
        <v>0.29166666666666657</v>
      </c>
      <c r="G177">
        <v>0.6875</v>
      </c>
    </row>
    <row r="178" spans="1:7" x14ac:dyDescent="0.15">
      <c r="A178" t="str">
        <f>HYPERLINK("./new_k5/query_cmdrels_weight_analyze/0.1_0.1_0.8/au_68028.xlsx","au_68028")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0.42857142857142849</v>
      </c>
      <c r="F178">
        <v>0.37142857142857139</v>
      </c>
      <c r="G178">
        <v>0.42857142857142849</v>
      </c>
    </row>
    <row r="179" spans="1:7" x14ac:dyDescent="0.15">
      <c r="A179" t="str">
        <f>HYPERLINK("./new_k5/query_cmdrels_weight_analyze/0.1_0.1_0.8/au_681312.xlsx","au_681312")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0.42857142857142849</v>
      </c>
      <c r="F179">
        <v>0.42857142857142849</v>
      </c>
      <c r="G179">
        <v>0.5714285714285714</v>
      </c>
    </row>
    <row r="180" spans="1:7" x14ac:dyDescent="0.15">
      <c r="A180" t="str">
        <f>HYPERLINK("./new_k5/query_cmdrels_weight_analyze/0.1_0.1_0.8/au_686239.xlsx","au_686239")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15">
      <c r="A181" t="str">
        <f>HYPERLINK("./new_k5/query_cmdrels_weight_analyze/0.1_0.1_0.8/au_68809.xlsx","au_68809")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0.28333333333333333</v>
      </c>
    </row>
    <row r="182" spans="1:7" x14ac:dyDescent="0.15">
      <c r="A182" t="str">
        <f>HYPERLINK("./new_k5/query_cmdrels_weight_analyze/0.1_0.1_0.8/au_69556.xlsx","au_69556")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HYPERLINK("./new_k5/query_cmdrels_weight_analyze/0.1_0.1_0.8/au_698993.xlsx","au_698993")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HYPERLINK("./new_k5/query_cmdrels_weight_analyze/0.1_0.1_0.8/au_707881.xlsx","au_707881")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0.16666666666666671</v>
      </c>
    </row>
    <row r="185" spans="1:7" x14ac:dyDescent="0.15">
      <c r="A185" t="str">
        <f>HYPERLINK("./new_k5/query_cmdrels_weight_analyze/0.1_0.1_0.8/au_709594.xlsx","au_709594")</f>
        <v>au_709594</v>
      </c>
      <c r="B185">
        <v>0.33333333333333331</v>
      </c>
      <c r="C185">
        <v>0.33333333333333331</v>
      </c>
      <c r="D185">
        <v>0.66666666666666663</v>
      </c>
      <c r="E185">
        <v>0.66666666666666663</v>
      </c>
      <c r="F185">
        <v>0.91666666666666663</v>
      </c>
      <c r="G185">
        <v>0.66666666666666663</v>
      </c>
    </row>
    <row r="186" spans="1:7" x14ac:dyDescent="0.15">
      <c r="A186" t="str">
        <f>HYPERLINK("./new_k5/query_cmdrels_weight_analyze/0.1_0.1_0.8/au_71309.xlsx","au_71309")</f>
        <v>au_71309</v>
      </c>
      <c r="B186">
        <v>0.125</v>
      </c>
      <c r="C186">
        <v>0.125</v>
      </c>
      <c r="D186">
        <v>0.20833333333333329</v>
      </c>
      <c r="E186">
        <v>0.25</v>
      </c>
      <c r="F186">
        <v>0.20833333333333329</v>
      </c>
      <c r="G186">
        <v>0.32500000000000001</v>
      </c>
    </row>
    <row r="187" spans="1:7" x14ac:dyDescent="0.15">
      <c r="A187" t="str">
        <f>HYPERLINK("./new_k5/query_cmdrels_weight_analyze/0.1_0.1_0.8/au_7138.xlsx","au_7138")</f>
        <v>au_7138</v>
      </c>
      <c r="B187">
        <v>0.25</v>
      </c>
      <c r="C187">
        <v>0</v>
      </c>
      <c r="D187">
        <v>0.75</v>
      </c>
      <c r="E187">
        <v>8.3333333333333329E-2</v>
      </c>
      <c r="F187">
        <v>0.75</v>
      </c>
      <c r="G187">
        <v>0.20833333333333329</v>
      </c>
    </row>
    <row r="188" spans="1:7" x14ac:dyDescent="0.15">
      <c r="A188" t="str">
        <f>HYPERLINK("./new_k5/query_cmdrels_weight_analyze/0.1_0.1_0.8/au_72549.xlsx","au_72549")</f>
        <v>au_72549</v>
      </c>
      <c r="B188">
        <v>0</v>
      </c>
      <c r="C188">
        <v>0.25</v>
      </c>
      <c r="D188">
        <v>0</v>
      </c>
      <c r="E188">
        <v>0.25</v>
      </c>
      <c r="F188">
        <v>0</v>
      </c>
      <c r="G188">
        <v>0.25</v>
      </c>
    </row>
    <row r="189" spans="1:7" x14ac:dyDescent="0.15">
      <c r="A189" t="str">
        <f>HYPERLINK("./new_k5/query_cmdrels_weight_analyze/0.1_0.1_0.8/au_740805.xlsx","au_740805")</f>
        <v>au_740805</v>
      </c>
      <c r="B189">
        <v>0.25</v>
      </c>
      <c r="C189">
        <v>0</v>
      </c>
      <c r="D189">
        <v>0.41666666666666657</v>
      </c>
      <c r="E189">
        <v>0.29166666666666657</v>
      </c>
      <c r="F189">
        <v>0.41666666666666657</v>
      </c>
      <c r="G189">
        <v>0.47916666666666657</v>
      </c>
    </row>
    <row r="190" spans="1:7" x14ac:dyDescent="0.15">
      <c r="A190" t="str">
        <f>HYPERLINK("./new_k5/query_cmdrels_weight_analyze/0.1_0.1_0.8/au_760796.xlsx","au_760796")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HYPERLINK("./new_k5/query_cmdrels_weight_analyze/0.1_0.1_0.8/au_762846.xlsx","au_762846")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0.43333333333333329</v>
      </c>
    </row>
    <row r="192" spans="1:7" x14ac:dyDescent="0.15">
      <c r="A192" t="str">
        <f>HYPERLINK("./new_k5/query_cmdrels_weight_analyze/0.1_0.1_0.8/au_767786.xlsx","au_767786")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0.6</v>
      </c>
    </row>
    <row r="193" spans="1:7" x14ac:dyDescent="0.15">
      <c r="A193" t="str">
        <f>HYPERLINK("./new_k5/query_cmdrels_weight_analyze/0.1_0.1_0.8/au_778906.xlsx","au_778906")</f>
        <v>au_778906</v>
      </c>
      <c r="B193">
        <v>0.2</v>
      </c>
      <c r="C193">
        <v>0.2</v>
      </c>
      <c r="D193">
        <v>0.33333333333333331</v>
      </c>
      <c r="E193">
        <v>0.33333333333333331</v>
      </c>
      <c r="F193">
        <v>0.33333333333333331</v>
      </c>
      <c r="G193">
        <v>0.48333333333333328</v>
      </c>
    </row>
    <row r="194" spans="1:7" x14ac:dyDescent="0.15">
      <c r="A194" t="str">
        <f>HYPERLINK("./new_k5/query_cmdrels_weight_analyze/0.1_0.1_0.8/au_818929.xlsx","au_818929")</f>
        <v>au_818929</v>
      </c>
      <c r="B194">
        <v>0</v>
      </c>
      <c r="C194">
        <v>0.2</v>
      </c>
      <c r="D194">
        <v>0</v>
      </c>
      <c r="E194">
        <v>0.33333333333333331</v>
      </c>
      <c r="F194">
        <v>0</v>
      </c>
      <c r="G194">
        <v>0.33333333333333331</v>
      </c>
    </row>
    <row r="195" spans="1:7" x14ac:dyDescent="0.15">
      <c r="A195" t="str">
        <f>HYPERLINK("./new_k5/query_cmdrels_weight_analyze/0.1_0.1_0.8/au_844876.xlsx","au_844876")</f>
        <v>au_844876</v>
      </c>
      <c r="B195">
        <v>0.5</v>
      </c>
      <c r="C195">
        <v>0.5</v>
      </c>
      <c r="D195">
        <v>0.5</v>
      </c>
      <c r="E195">
        <v>0.5</v>
      </c>
      <c r="F195">
        <v>0.5</v>
      </c>
      <c r="G195">
        <v>0.75</v>
      </c>
    </row>
    <row r="196" spans="1:7" x14ac:dyDescent="0.15">
      <c r="A196" t="str">
        <f>HYPERLINK("./new_k5/query_cmdrels_weight_analyze/0.1_0.1_0.8/au_85318.xlsx","au_85318")</f>
        <v>au_85318</v>
      </c>
      <c r="B196">
        <v>0.2</v>
      </c>
      <c r="C196">
        <v>0.2</v>
      </c>
      <c r="D196">
        <v>0.6</v>
      </c>
      <c r="E196">
        <v>0.6</v>
      </c>
      <c r="F196">
        <v>0.6</v>
      </c>
      <c r="G196">
        <v>0.6</v>
      </c>
    </row>
    <row r="197" spans="1:7" x14ac:dyDescent="0.15">
      <c r="A197" t="str">
        <f>HYPERLINK("./new_k5/query_cmdrels_weight_analyze/0.1_0.1_0.8/au_854332.xlsx","au_854332")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0.46666666666666662</v>
      </c>
    </row>
    <row r="198" spans="1:7" x14ac:dyDescent="0.15">
      <c r="A198" t="str">
        <f>HYPERLINK("./new_k5/query_cmdrels_weight_analyze/0.1_0.1_0.8/au_854373.xlsx","au_854373")</f>
        <v>au_854373</v>
      </c>
      <c r="B198">
        <v>0.33333333333333331</v>
      </c>
      <c r="C198">
        <v>0</v>
      </c>
      <c r="D198">
        <v>0.55555555555555547</v>
      </c>
      <c r="E198">
        <v>0.38888888888888878</v>
      </c>
      <c r="F198">
        <v>0.80555555555555547</v>
      </c>
      <c r="G198">
        <v>0.38888888888888878</v>
      </c>
    </row>
    <row r="199" spans="1:7" x14ac:dyDescent="0.15">
      <c r="A199" t="str">
        <f>HYPERLINK("./new_k5/query_cmdrels_weight_analyze/0.1_0.1_0.8/au_86843.xlsx","au_86843")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0.05</v>
      </c>
    </row>
    <row r="200" spans="1:7" x14ac:dyDescent="0.15">
      <c r="A200" t="str">
        <f>HYPERLINK("./new_k5/query_cmdrels_weight_analyze/0.1_0.1_0.8/au_88108.xlsx","au_88108")</f>
        <v>au_88108</v>
      </c>
      <c r="B200">
        <v>0</v>
      </c>
      <c r="C200">
        <v>0</v>
      </c>
      <c r="D200">
        <v>0.1</v>
      </c>
      <c r="E200">
        <v>0</v>
      </c>
      <c r="F200">
        <v>0.1</v>
      </c>
      <c r="G200">
        <v>0</v>
      </c>
    </row>
    <row r="201" spans="1:7" x14ac:dyDescent="0.15">
      <c r="A201" t="str">
        <f>HYPERLINK("./new_k5/query_cmdrels_weight_analyze/0.1_0.1_0.8/au_90214.xlsx","au_90214")</f>
        <v>au_90214</v>
      </c>
      <c r="B201">
        <v>0</v>
      </c>
      <c r="C201">
        <v>0</v>
      </c>
      <c r="D201">
        <v>0.16666666666666671</v>
      </c>
      <c r="E201">
        <v>0.16666666666666671</v>
      </c>
      <c r="F201">
        <v>0.16666666666666671</v>
      </c>
      <c r="G201">
        <v>0.16666666666666671</v>
      </c>
    </row>
    <row r="202" spans="1:7" x14ac:dyDescent="0.15">
      <c r="A202" t="str">
        <f>HYPERLINK("./new_k5/query_cmdrels_weight_analyze/0.1_0.1_0.8/au_90339.xlsx","au_90339")</f>
        <v>au_90339</v>
      </c>
      <c r="B202">
        <v>0</v>
      </c>
      <c r="C202">
        <v>0</v>
      </c>
      <c r="D202">
        <v>4.7619047619047623E-2</v>
      </c>
      <c r="E202">
        <v>4.7619047619047623E-2</v>
      </c>
      <c r="F202">
        <v>0.2047619047619047</v>
      </c>
      <c r="G202">
        <v>0.119047619047619</v>
      </c>
    </row>
    <row r="203" spans="1:7" x14ac:dyDescent="0.15">
      <c r="A203" t="str">
        <f>HYPERLINK("./new_k5/query_cmdrels_weight_analyze/0.1_0.1_0.8/au_91286.xlsx","au_91286")</f>
        <v>au_91286</v>
      </c>
      <c r="B203">
        <v>0.5</v>
      </c>
      <c r="C203">
        <v>0.5</v>
      </c>
      <c r="D203">
        <v>0.5</v>
      </c>
      <c r="E203">
        <v>0.5</v>
      </c>
      <c r="F203">
        <v>0.5</v>
      </c>
      <c r="G203">
        <v>0.5</v>
      </c>
    </row>
    <row r="204" spans="1:7" x14ac:dyDescent="0.15">
      <c r="A204" t="str">
        <f>HYPERLINK("./new_k5/query_cmdrels_weight_analyze/0.1_0.1_0.8/au_9135.xlsx","au_9135")</f>
        <v>au_9135</v>
      </c>
      <c r="B204">
        <v>0.1</v>
      </c>
      <c r="C204">
        <v>0.1</v>
      </c>
      <c r="D204">
        <v>0.16666666666666671</v>
      </c>
      <c r="E204">
        <v>0.16666666666666671</v>
      </c>
      <c r="F204">
        <v>0.24166666666666661</v>
      </c>
      <c r="G204">
        <v>0.22666666666666671</v>
      </c>
    </row>
    <row r="205" spans="1:7" x14ac:dyDescent="0.15">
      <c r="A205" t="str">
        <f>HYPERLINK("./new_k5/query_cmdrels_weight_analyze/0.1_0.1_0.8/au_935569.xlsx","au_935569")</f>
        <v>au_935569</v>
      </c>
      <c r="B205">
        <v>0.14285714285714279</v>
      </c>
      <c r="C205">
        <v>0.14285714285714279</v>
      </c>
      <c r="D205">
        <v>0.42857142857142849</v>
      </c>
      <c r="E205">
        <v>0.2857142857142857</v>
      </c>
      <c r="F205">
        <v>0.54285714285714282</v>
      </c>
      <c r="G205">
        <v>0.39285714285714279</v>
      </c>
    </row>
    <row r="206" spans="1:7" x14ac:dyDescent="0.15">
      <c r="A206" t="str">
        <f>HYPERLINK("./new_k5/query_cmdrels_weight_analyze/0.1_0.1_0.8/au_97936.xlsx","au_97936")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HYPERLINK("./new_k5/query_cmdrels_weight_analyze/0.1_0.1_0.8/so_10235778.xlsx","so_10235778")</f>
        <v>so_10235778</v>
      </c>
      <c r="B207">
        <v>0.25</v>
      </c>
      <c r="C207">
        <v>0.25</v>
      </c>
      <c r="D207">
        <v>0.5</v>
      </c>
      <c r="E207">
        <v>0.25</v>
      </c>
      <c r="F207">
        <v>0.5</v>
      </c>
      <c r="G207">
        <v>0.52500000000000002</v>
      </c>
    </row>
    <row r="208" spans="1:7" x14ac:dyDescent="0.15">
      <c r="A208" t="str">
        <f>HYPERLINK("./new_k5/query_cmdrels_weight_analyze/0.1_0.1_0.8/so_1045910.xlsx","so_1045910")</f>
        <v>so_1045910</v>
      </c>
      <c r="B208">
        <v>0.25</v>
      </c>
      <c r="C208">
        <v>0.25</v>
      </c>
      <c r="D208">
        <v>0.25</v>
      </c>
      <c r="E208">
        <v>0.5</v>
      </c>
      <c r="F208">
        <v>0.25</v>
      </c>
      <c r="G208">
        <v>0.5</v>
      </c>
    </row>
    <row r="209" spans="1:7" x14ac:dyDescent="0.15">
      <c r="A209" t="str">
        <f>HYPERLINK("./new_k5/query_cmdrels_weight_analyze/0.1_0.1_0.8/so_10557360.xlsx","so_10557360")</f>
        <v>so_10557360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0.05</v>
      </c>
    </row>
    <row r="210" spans="1:7" x14ac:dyDescent="0.15">
      <c r="A210" t="str">
        <f>HYPERLINK("./new_k5/query_cmdrels_weight_analyze/0.1_0.1_0.8/so_1058047.xlsx","so_1058047")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0.35</v>
      </c>
    </row>
    <row r="211" spans="1:7" x14ac:dyDescent="0.15">
      <c r="A211" t="str">
        <f>HYPERLINK("./new_k5/query_cmdrels_weight_analyze/0.1_0.1_0.8/so_10829402.xlsx","so_10829402")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HYPERLINK("./new_k5/query_cmdrels_weight_analyze/0.1_0.1_0.8/so_1088098.xlsx","so_1088098")</f>
        <v>so_1088098</v>
      </c>
      <c r="B212">
        <v>0</v>
      </c>
      <c r="C212">
        <v>0</v>
      </c>
      <c r="D212">
        <v>0.125</v>
      </c>
      <c r="E212">
        <v>0.125</v>
      </c>
      <c r="F212">
        <v>0.125</v>
      </c>
      <c r="G212">
        <v>0.125</v>
      </c>
    </row>
    <row r="213" spans="1:7" x14ac:dyDescent="0.15">
      <c r="A213" t="str">
        <f>HYPERLINK("./new_k5/query_cmdrels_weight_analyze/0.1_0.1_0.8/so_10990949.xlsx","so_10990949")</f>
        <v>so_10990949</v>
      </c>
      <c r="B213">
        <v>0.5</v>
      </c>
      <c r="C213">
        <v>0.5</v>
      </c>
      <c r="D213">
        <v>0.5</v>
      </c>
      <c r="E213">
        <v>1</v>
      </c>
      <c r="F213">
        <v>0.5</v>
      </c>
      <c r="G213">
        <v>1</v>
      </c>
    </row>
    <row r="214" spans="1:7" x14ac:dyDescent="0.15">
      <c r="A214" t="str">
        <f>HYPERLINK("./new_k5/query_cmdrels_weight_analyze/0.1_0.1_0.8/so_11211705.xlsx","so_11211705")</f>
        <v>so_11211705</v>
      </c>
      <c r="B214">
        <v>0</v>
      </c>
      <c r="C214">
        <v>0.25</v>
      </c>
      <c r="D214">
        <v>0</v>
      </c>
      <c r="E214">
        <v>0.41666666666666657</v>
      </c>
      <c r="F214">
        <v>0.05</v>
      </c>
      <c r="G214">
        <v>0.41666666666666657</v>
      </c>
    </row>
    <row r="215" spans="1:7" x14ac:dyDescent="0.15">
      <c r="A215" t="str">
        <f>HYPERLINK("./new_k5/query_cmdrels_weight_analyze/0.1_0.1_0.8/so_112932.xlsx","so_112932")</f>
        <v>so_112932</v>
      </c>
      <c r="B215">
        <v>0</v>
      </c>
      <c r="C215">
        <v>0</v>
      </c>
      <c r="D215">
        <v>0.16666666666666671</v>
      </c>
      <c r="E215">
        <v>0.16666666666666671</v>
      </c>
      <c r="F215">
        <v>0.16666666666666671</v>
      </c>
      <c r="G215">
        <v>0.33333333333333331</v>
      </c>
    </row>
    <row r="216" spans="1:7" x14ac:dyDescent="0.15">
      <c r="A216" t="str">
        <f>HYPERLINK("./new_k5/query_cmdrels_weight_analyze/0.1_0.1_0.8/so_11392189.xlsx","so_11392189")</f>
        <v>so_11392189</v>
      </c>
      <c r="B216">
        <v>0</v>
      </c>
      <c r="C216">
        <v>0</v>
      </c>
      <c r="D216">
        <v>0</v>
      </c>
      <c r="E216">
        <v>0.125</v>
      </c>
      <c r="F216">
        <v>0</v>
      </c>
      <c r="G216">
        <v>0.125</v>
      </c>
    </row>
    <row r="217" spans="1:7" x14ac:dyDescent="0.15">
      <c r="A217" t="str">
        <f>HYPERLINK("./new_k5/query_cmdrels_weight_analyze/0.1_0.1_0.8/so_1183183.xlsx","so_1183183")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0.25</v>
      </c>
    </row>
    <row r="218" spans="1:7" x14ac:dyDescent="0.15">
      <c r="A218" t="str">
        <f>HYPERLINK("./new_k5/query_cmdrels_weight_analyze/0.1_0.1_0.8/so_1194882.xlsx","so_1194882")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HYPERLINK("./new_k5/query_cmdrels_weight_analyze/0.1_0.1_0.8/so_12120935.xlsx","so_12120935")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HYPERLINK("./new_k5/query_cmdrels_weight_analyze/0.1_0.1_0.8/so_12313384.xlsx","so_12313384")</f>
        <v>so_12313384</v>
      </c>
      <c r="B220">
        <v>0</v>
      </c>
      <c r="C220">
        <v>0</v>
      </c>
      <c r="D220">
        <v>0.16666666666666671</v>
      </c>
      <c r="E220">
        <v>0.16666666666666671</v>
      </c>
      <c r="F220">
        <v>0.16666666666666671</v>
      </c>
      <c r="G220">
        <v>0.33333333333333331</v>
      </c>
    </row>
    <row r="221" spans="1:7" x14ac:dyDescent="0.15">
      <c r="A221" t="str">
        <f>HYPERLINK("./new_k5/query_cmdrels_weight_analyze/0.1_0.1_0.8/so_12392598.xlsx","so_12392598")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HYPERLINK("./new_k5/query_cmdrels_weight_analyze/0.1_0.1_0.8/so_1241801.xlsx","so_1241801")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HYPERLINK("./new_k5/query_cmdrels_weight_analyze/0.1_0.1_0.8/so_12522269.xlsx","so_12522269")</f>
        <v>so_12522269</v>
      </c>
      <c r="B223">
        <v>0.2</v>
      </c>
      <c r="C223">
        <v>0</v>
      </c>
      <c r="D223">
        <v>0.2</v>
      </c>
      <c r="E223">
        <v>0.23333333333333331</v>
      </c>
      <c r="F223">
        <v>0.28000000000000003</v>
      </c>
      <c r="G223">
        <v>0.23333333333333331</v>
      </c>
    </row>
    <row r="224" spans="1:7" x14ac:dyDescent="0.15">
      <c r="A224" t="str">
        <f>HYPERLINK("./new_k5/query_cmdrels_weight_analyze/0.1_0.1_0.8/so_1293907.xlsx","so_1293907")</f>
        <v>so_1293907</v>
      </c>
      <c r="B224">
        <v>0</v>
      </c>
      <c r="C224">
        <v>0</v>
      </c>
      <c r="D224">
        <v>0</v>
      </c>
      <c r="E224">
        <v>0.16666666666666671</v>
      </c>
      <c r="F224">
        <v>8.3333333333333329E-2</v>
      </c>
      <c r="G224">
        <v>0.33333333333333331</v>
      </c>
    </row>
    <row r="225" spans="1:7" x14ac:dyDescent="0.15">
      <c r="A225" t="str">
        <f>HYPERLINK("./new_k5/query_cmdrels_weight_analyze/0.1_0.1_0.8/so_13428910.xlsx","so_13428910")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HYPERLINK("./new_k5/query_cmdrels_weight_analyze/0.1_0.1_0.8/so_135688.xlsx","so_135688")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HYPERLINK("./new_k5/query_cmdrels_weight_analyze/0.1_0.1_0.8/so_13778273.xlsx","so_13778273")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HYPERLINK("./new_k5/query_cmdrels_weight_analyze/0.1_0.1_0.8/so_1405611.xlsx","so_1405611")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</v>
      </c>
      <c r="F228">
        <v>0.33333333333333331</v>
      </c>
      <c r="G228">
        <v>8.3333333333333329E-2</v>
      </c>
    </row>
    <row r="229" spans="1:7" x14ac:dyDescent="0.15">
      <c r="A229" t="str">
        <f>HYPERLINK("./new_k5/query_cmdrels_weight_analyze/0.1_0.1_0.8/so_14300794.xlsx","so_14300794")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0.6333333333333333</v>
      </c>
    </row>
    <row r="230" spans="1:7" x14ac:dyDescent="0.15">
      <c r="A230" t="str">
        <f>HYPERLINK("./new_k5/query_cmdrels_weight_analyze/0.1_0.1_0.8/so_143791.xlsx","so_143791")</f>
        <v>so_143791</v>
      </c>
      <c r="B230">
        <v>0.125</v>
      </c>
      <c r="C230">
        <v>0.125</v>
      </c>
      <c r="D230">
        <v>0.375</v>
      </c>
      <c r="E230">
        <v>0.375</v>
      </c>
      <c r="F230">
        <v>0.375</v>
      </c>
      <c r="G230">
        <v>0.5</v>
      </c>
    </row>
    <row r="231" spans="1:7" x14ac:dyDescent="0.15">
      <c r="A231" t="str">
        <f>HYPERLINK("./new_k5/query_cmdrels_weight_analyze/0.1_0.1_0.8/so_14750650.xlsx","so_14750650")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15">
      <c r="A232" t="str">
        <f>HYPERLINK("./new_k5/query_cmdrels_weight_analyze/0.1_0.1_0.8/so_14978411.xlsx","so_14978411")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HYPERLINK("./new_k5/query_cmdrels_weight_analyze/0.1_0.1_0.8/so_15236308.xlsx","so_15236308")</f>
        <v>so_15236308</v>
      </c>
      <c r="B233">
        <v>0.25</v>
      </c>
      <c r="C233">
        <v>0.25</v>
      </c>
      <c r="D233">
        <v>0.25</v>
      </c>
      <c r="E233">
        <v>0.5</v>
      </c>
      <c r="F233">
        <v>0.25</v>
      </c>
      <c r="G233">
        <v>0.5</v>
      </c>
    </row>
    <row r="234" spans="1:7" x14ac:dyDescent="0.15">
      <c r="A234" t="str">
        <f>HYPERLINK("./new_k5/query_cmdrels_weight_analyze/0.1_0.1_0.8/so_15286947.xlsx","so_15286947")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HYPERLINK("./new_k5/query_cmdrels_weight_analyze/0.1_0.1_0.8/so_15402770.xlsx","so_15402770")</f>
        <v>so_15402770</v>
      </c>
      <c r="B235">
        <v>0</v>
      </c>
      <c r="C235">
        <v>0</v>
      </c>
      <c r="D235">
        <v>0.19444444444444439</v>
      </c>
      <c r="E235">
        <v>0.19444444444444439</v>
      </c>
      <c r="F235">
        <v>0.19444444444444439</v>
      </c>
      <c r="G235">
        <v>0.31944444444444442</v>
      </c>
    </row>
    <row r="236" spans="1:7" x14ac:dyDescent="0.15">
      <c r="A236" t="str">
        <f>HYPERLINK("./new_k5/query_cmdrels_weight_analyze/0.1_0.1_0.8/so_1570262.xlsx","so_1570262")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0.13</v>
      </c>
    </row>
    <row r="237" spans="1:7" x14ac:dyDescent="0.15">
      <c r="A237" t="str">
        <f>HYPERLINK("./new_k5/query_cmdrels_weight_analyze/0.1_0.1_0.8/so_1583219.xlsx","so_1583219")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HYPERLINK("./new_k5/query_cmdrels_weight_analyze/0.1_0.1_0.8/so_15872543.xlsx","so_15872543")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HYPERLINK("./new_k5/query_cmdrels_weight_analyze/0.1_0.1_0.8/so_16038087.xlsx","so_16038087")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0.42857142857142849</v>
      </c>
    </row>
    <row r="240" spans="1:7" x14ac:dyDescent="0.15">
      <c r="A240" t="str">
        <f>HYPERLINK("./new_k5/query_cmdrels_weight_analyze/0.1_0.1_0.8/so_16212656.xlsx","so_16212656")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HYPERLINK("./new_k5/query_cmdrels_weight_analyze/0.1_0.1_0.8/so_16575419.xlsx","so_16575419")</f>
        <v>so_16575419</v>
      </c>
      <c r="B241">
        <v>0.25</v>
      </c>
      <c r="C241">
        <v>0.25</v>
      </c>
      <c r="D241">
        <v>0.25</v>
      </c>
      <c r="E241">
        <v>0.5</v>
      </c>
      <c r="F241">
        <v>0.25</v>
      </c>
      <c r="G241">
        <v>0.5</v>
      </c>
    </row>
    <row r="242" spans="1:7" x14ac:dyDescent="0.15">
      <c r="A242" t="str">
        <f>HYPERLINK("./new_k5/query_cmdrels_weight_analyze/0.1_0.1_0.8/so_17582768.xlsx","so_17582768")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0</v>
      </c>
    </row>
    <row r="243" spans="1:7" x14ac:dyDescent="0.15">
      <c r="A243" t="str">
        <f>HYPERLINK("./new_k5/query_cmdrels_weight_analyze/0.1_0.1_0.8/so_17607612.xlsx","so_17607612")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15">
      <c r="A244" t="str">
        <f>HYPERLINK("./new_k5/query_cmdrels_weight_analyze/0.1_0.1_0.8/so_17829785.xlsx","so_17829785")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HYPERLINK("./new_k5/query_cmdrels_weight_analyze/0.1_0.1_0.8/so_1839841.xlsx","so_1839841")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HYPERLINK("./new_k5/query_cmdrels_weight_analyze/0.1_0.1_0.8/so_18468716.xlsx","so_18468716")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0.33333333333333331</v>
      </c>
    </row>
    <row r="247" spans="1:7" x14ac:dyDescent="0.15">
      <c r="A247" t="str">
        <f>HYPERLINK("./new_k5/query_cmdrels_weight_analyze/0.1_0.1_0.8/so_19196105.xlsx","so_19196105")</f>
        <v>so_19196105</v>
      </c>
      <c r="B247">
        <v>0.1</v>
      </c>
      <c r="C247">
        <v>0.1</v>
      </c>
      <c r="D247">
        <v>0.3</v>
      </c>
      <c r="E247">
        <v>0.3</v>
      </c>
      <c r="F247">
        <v>0.5</v>
      </c>
      <c r="G247">
        <v>0.38</v>
      </c>
    </row>
    <row r="248" spans="1:7" x14ac:dyDescent="0.15">
      <c r="A248" t="str">
        <f>HYPERLINK("./new_k5/query_cmdrels_weight_analyze/0.1_0.1_0.8/so_19482123.xlsx","so_19482123")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HYPERLINK("./new_k5/query_cmdrels_weight_analyze/0.1_0.1_0.8/so_1975849.xlsx","so_1975849")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HYPERLINK("./new_k5/query_cmdrels_weight_analyze/0.1_0.1_0.8/so_212528.xlsx","so_212528")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0.33333333333333331</v>
      </c>
    </row>
    <row r="251" spans="1:7" x14ac:dyDescent="0.15">
      <c r="A251" t="str">
        <f>HYPERLINK("./new_k5/query_cmdrels_weight_analyze/0.1_0.1_0.8/so_21620406.xlsx","so_21620406")</f>
        <v>so_21620406</v>
      </c>
      <c r="B251">
        <v>0</v>
      </c>
      <c r="C251">
        <v>0</v>
      </c>
      <c r="D251">
        <v>0.1111111111111111</v>
      </c>
      <c r="E251">
        <v>0.16666666666666671</v>
      </c>
      <c r="F251">
        <v>0.1111111111111111</v>
      </c>
      <c r="G251">
        <v>0.16666666666666671</v>
      </c>
    </row>
    <row r="252" spans="1:7" x14ac:dyDescent="0.15">
      <c r="A252" t="str">
        <f>HYPERLINK("./new_k5/query_cmdrels_weight_analyze/0.1_0.1_0.8/so_23509348.xlsx","so_23509348")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0.25</v>
      </c>
    </row>
    <row r="253" spans="1:7" x14ac:dyDescent="0.15">
      <c r="A253" t="str">
        <f>HYPERLINK("./new_k5/query_cmdrels_weight_analyze/0.1_0.1_0.8/so_24058544.xlsx","so_24058544")</f>
        <v>so_24058544</v>
      </c>
      <c r="B253">
        <v>0.2</v>
      </c>
      <c r="C253">
        <v>0</v>
      </c>
      <c r="D253">
        <v>0.2</v>
      </c>
      <c r="E253">
        <v>6.6666666666666666E-2</v>
      </c>
      <c r="F253">
        <v>0.2</v>
      </c>
      <c r="G253">
        <v>6.6666666666666666E-2</v>
      </c>
    </row>
    <row r="254" spans="1:7" x14ac:dyDescent="0.15">
      <c r="A254" t="str">
        <f>HYPERLINK("./new_k5/query_cmdrels_weight_analyze/0.1_0.1_0.8/so_24283097.xlsx","so_24283097")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HYPERLINK("./new_k5/query_cmdrels_weight_analyze/0.1_0.1_0.8/so_26256279.xlsx","so_26256279")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0.66666666666666663</v>
      </c>
      <c r="F255">
        <v>0.33333333333333331</v>
      </c>
      <c r="G255">
        <v>0.66666666666666663</v>
      </c>
    </row>
    <row r="256" spans="1:7" x14ac:dyDescent="0.15">
      <c r="A256" t="str">
        <f>HYPERLINK("./new_k5/query_cmdrels_weight_analyze/0.1_0.1_0.8/so_26331651.xlsx","so_26331651")</f>
        <v>so_26331651</v>
      </c>
      <c r="B256">
        <v>0</v>
      </c>
      <c r="C256">
        <v>0</v>
      </c>
      <c r="D256">
        <v>0</v>
      </c>
      <c r="E256">
        <v>7.1428571428571425E-2</v>
      </c>
      <c r="F256">
        <v>0</v>
      </c>
      <c r="G256">
        <v>0.14285714285714279</v>
      </c>
    </row>
    <row r="257" spans="1:7" x14ac:dyDescent="0.15">
      <c r="A257" t="str">
        <f>HYPERLINK("./new_k5/query_cmdrels_weight_analyze/0.1_0.1_0.8/so_26988262.xlsx","so_26988262")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HYPERLINK("./new_k5/query_cmdrels_weight_analyze/0.1_0.1_0.8/so_27238411.xlsx","so_27238411")</f>
        <v>so_27238411</v>
      </c>
      <c r="B258">
        <v>0.2</v>
      </c>
      <c r="C258">
        <v>0.2</v>
      </c>
      <c r="D258">
        <v>0.6</v>
      </c>
      <c r="E258">
        <v>0.33333333333333331</v>
      </c>
      <c r="F258">
        <v>0.6</v>
      </c>
      <c r="G258">
        <v>0.48333333333333328</v>
      </c>
    </row>
    <row r="259" spans="1:7" x14ac:dyDescent="0.15">
      <c r="A259" t="str">
        <f>HYPERLINK("./new_k5/query_cmdrels_weight_analyze/0.1_0.1_0.8/so_27943059.xlsx","so_27943059")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0.55555555555555547</v>
      </c>
      <c r="F259">
        <v>0.16666666666666671</v>
      </c>
      <c r="G259">
        <v>0.55555555555555547</v>
      </c>
    </row>
    <row r="260" spans="1:7" x14ac:dyDescent="0.15">
      <c r="A260" t="str">
        <f>HYPERLINK("./new_k5/query_cmdrels_weight_analyze/0.1_0.1_0.8/so_28869004.xlsx","so_28869004")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HYPERLINK("./new_k5/query_cmdrels_weight_analyze/0.1_0.1_0.8/so_2973624.xlsx","so_2973624")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1</v>
      </c>
      <c r="F261">
        <v>0.66666666666666663</v>
      </c>
      <c r="G261">
        <v>1</v>
      </c>
    </row>
    <row r="262" spans="1:7" x14ac:dyDescent="0.15">
      <c r="A262" t="str">
        <f>HYPERLINK("./new_k5/query_cmdrels_weight_analyze/0.1_0.1_0.8/so_30177455.xlsx","so_30177455")</f>
        <v>so_30177455</v>
      </c>
      <c r="B262">
        <v>0</v>
      </c>
      <c r="C262">
        <v>0</v>
      </c>
      <c r="D262">
        <v>0.16666666666666671</v>
      </c>
      <c r="E262">
        <v>0.16666666666666671</v>
      </c>
      <c r="F262">
        <v>0.16666666666666671</v>
      </c>
      <c r="G262">
        <v>0.16666666666666671</v>
      </c>
    </row>
    <row r="263" spans="1:7" x14ac:dyDescent="0.15">
      <c r="A263" t="str">
        <f>HYPERLINK("./new_k5/query_cmdrels_weight_analyze/0.1_0.1_0.8/so_30251889.xlsx","so_30251889")</f>
        <v>so_30251889</v>
      </c>
      <c r="B263">
        <v>0</v>
      </c>
      <c r="C263">
        <v>0</v>
      </c>
      <c r="D263">
        <v>0.125</v>
      </c>
      <c r="E263">
        <v>0.125</v>
      </c>
      <c r="F263">
        <v>0.22500000000000001</v>
      </c>
      <c r="G263">
        <v>0.4</v>
      </c>
    </row>
    <row r="264" spans="1:7" x14ac:dyDescent="0.15">
      <c r="A264" t="str">
        <f>HYPERLINK("./new_k5/query_cmdrels_weight_analyze/0.1_0.1_0.8/so_305035.xlsx","so_305035")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HYPERLINK("./new_k5/query_cmdrels_weight_analyze/0.1_0.1_0.8/so_36249744.xlsx","so_36249744")</f>
        <v>so_36249744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</row>
    <row r="266" spans="1:7" x14ac:dyDescent="0.15">
      <c r="A266" t="str">
        <f>HYPERLINK("./new_k5/query_cmdrels_weight_analyze/0.1_0.1_0.8/so_3643848.xlsx","so_3643848")</f>
        <v>so_3643848</v>
      </c>
      <c r="B266">
        <v>0.5</v>
      </c>
      <c r="C266">
        <v>0.5</v>
      </c>
      <c r="D266">
        <v>1</v>
      </c>
      <c r="E266">
        <v>0.5</v>
      </c>
      <c r="F266">
        <v>1</v>
      </c>
      <c r="G266">
        <v>0.75</v>
      </c>
    </row>
    <row r="267" spans="1:7" x14ac:dyDescent="0.15">
      <c r="A267" t="str">
        <f>HYPERLINK("./new_k5/query_cmdrels_weight_analyze/0.1_0.1_0.8/so_3667329.xlsx","so_3667329")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0.33333333333333331</v>
      </c>
    </row>
    <row r="268" spans="1:7" x14ac:dyDescent="0.15">
      <c r="A268" t="str">
        <f>HYPERLINK("./new_k5/query_cmdrels_weight_analyze/0.1_0.1_0.8/so_369758.xlsx","so_369758")</f>
        <v>so_369758</v>
      </c>
      <c r="B268">
        <v>0.2</v>
      </c>
      <c r="C268">
        <v>0.2</v>
      </c>
      <c r="D268">
        <v>0.4</v>
      </c>
      <c r="E268">
        <v>0.6</v>
      </c>
      <c r="F268">
        <v>0.4</v>
      </c>
      <c r="G268">
        <v>0.6</v>
      </c>
    </row>
    <row r="269" spans="1:7" x14ac:dyDescent="0.15">
      <c r="A269" t="str">
        <f>HYPERLINK("./new_k5/query_cmdrels_weight_analyze/0.1_0.1_0.8/so_3756323.xlsx","so_3756323")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0.75</v>
      </c>
    </row>
    <row r="270" spans="1:7" x14ac:dyDescent="0.15">
      <c r="A270" t="str">
        <f>HYPERLINK("./new_k5/query_cmdrels_weight_analyze/0.1_0.1_0.8/so_3767267.xlsx","so_3767267")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HYPERLINK("./new_k5/query_cmdrels_weight_analyze/0.1_0.1_0.8/so_3833578.xlsx","so_3833578")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0.33333333333333331</v>
      </c>
      <c r="F271">
        <v>0.33333333333333331</v>
      </c>
      <c r="G271">
        <v>0.5</v>
      </c>
    </row>
    <row r="272" spans="1:7" x14ac:dyDescent="0.15">
      <c r="A272" t="str">
        <f>HYPERLINK("./new_k5/query_cmdrels_weight_analyze/0.1_0.1_0.8/so_3891076.xlsx","so_3891076")</f>
        <v>so_3891076</v>
      </c>
      <c r="B272">
        <v>0.25</v>
      </c>
      <c r="C272">
        <v>0</v>
      </c>
      <c r="D272">
        <v>0.25</v>
      </c>
      <c r="E272">
        <v>0.125</v>
      </c>
      <c r="F272">
        <v>0.25</v>
      </c>
      <c r="G272">
        <v>0.25</v>
      </c>
    </row>
    <row r="273" spans="1:7" x14ac:dyDescent="0.15">
      <c r="A273" t="str">
        <f>HYPERLINK("./new_k5/query_cmdrels_weight_analyze/0.1_0.1_0.8/so_3963085.xlsx","so_3963085")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HYPERLINK("./new_k5/query_cmdrels_weight_analyze/0.1_0.1_0.8/so_4325216.xlsx","so_4325216")</f>
        <v>so_4325216</v>
      </c>
      <c r="B274">
        <v>0.5</v>
      </c>
      <c r="C274">
        <v>0.5</v>
      </c>
      <c r="D274">
        <v>0.5</v>
      </c>
      <c r="E274">
        <v>1</v>
      </c>
      <c r="F274">
        <v>0.5</v>
      </c>
      <c r="G274">
        <v>1</v>
      </c>
    </row>
    <row r="275" spans="1:7" x14ac:dyDescent="0.15">
      <c r="A275" t="str">
        <f>HYPERLINK("./new_k5/query_cmdrels_weight_analyze/0.1_0.1_0.8/so_448005.xlsx","so_448005")</f>
        <v>so_448005</v>
      </c>
      <c r="B275">
        <v>1</v>
      </c>
      <c r="C275">
        <v>0</v>
      </c>
      <c r="D275">
        <v>1</v>
      </c>
      <c r="E275">
        <v>0.33333333333333331</v>
      </c>
      <c r="F275">
        <v>1</v>
      </c>
      <c r="G275">
        <v>0.33333333333333331</v>
      </c>
    </row>
    <row r="276" spans="1:7" x14ac:dyDescent="0.15">
      <c r="A276" t="str">
        <f>HYPERLINK("./new_k5/query_cmdrels_weight_analyze/0.1_0.1_0.8/so_4921879.xlsx","so_4921879")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HYPERLINK("./new_k5/query_cmdrels_weight_analyze/0.1_0.1_0.8/so_4922943.xlsx","so_4922943")</f>
        <v>so_4922943</v>
      </c>
      <c r="B277">
        <v>0.2</v>
      </c>
      <c r="C277">
        <v>0</v>
      </c>
      <c r="D277">
        <v>0.33333333333333331</v>
      </c>
      <c r="E277">
        <v>6.6666666666666666E-2</v>
      </c>
      <c r="F277">
        <v>0.33333333333333331</v>
      </c>
      <c r="G277">
        <v>0.16666666666666671</v>
      </c>
    </row>
    <row r="278" spans="1:7" x14ac:dyDescent="0.15">
      <c r="A278" t="str">
        <f>HYPERLINK("./new_k5/query_cmdrels_weight_analyze/0.1_0.1_0.8/so_5119946.xlsx","so_5119946")</f>
        <v>so_5119946</v>
      </c>
      <c r="B278">
        <v>0.5</v>
      </c>
      <c r="C278">
        <v>0</v>
      </c>
      <c r="D278">
        <v>0.5</v>
      </c>
      <c r="E278">
        <v>0.25</v>
      </c>
      <c r="F278">
        <v>0.5</v>
      </c>
      <c r="G278">
        <v>0.25</v>
      </c>
    </row>
    <row r="279" spans="1:7" x14ac:dyDescent="0.15">
      <c r="A279" t="str">
        <f>HYPERLINK("./new_k5/query_cmdrels_weight_analyze/0.1_0.1_0.8/so_5164985.xlsx","so_5164985")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HYPERLINK("./new_k5/query_cmdrels_weight_analyze/0.1_0.1_0.8/so_5306153.xlsx","so_5306153")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HYPERLINK("./new_k5/query_cmdrels_weight_analyze/0.1_0.1_0.8/so_5566310.xlsx","so_5566310")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HYPERLINK("./new_k5/query_cmdrels_weight_analyze/0.1_0.1_0.8/so_5927369.xlsx","so_5927369")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HYPERLINK("./new_k5/query_cmdrels_weight_analyze/0.1_0.1_0.8/so_5947742.xlsx","so_5947742")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0.55555555555555547</v>
      </c>
      <c r="F283">
        <v>0.55555555555555547</v>
      </c>
      <c r="G283">
        <v>0.55555555555555547</v>
      </c>
    </row>
    <row r="284" spans="1:7" x14ac:dyDescent="0.15">
      <c r="A284" t="str">
        <f>HYPERLINK("./new_k5/query_cmdrels_weight_analyze/0.1_0.1_0.8/so_614795.xlsx","so_614795")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HYPERLINK("./new_k5/query_cmdrels_weight_analyze/0.1_0.1_0.8/so_6207573.xlsx","so_6207573")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0.42857142857142849</v>
      </c>
      <c r="F285">
        <v>0.37142857142857139</v>
      </c>
      <c r="G285">
        <v>0.54285714285714282</v>
      </c>
    </row>
    <row r="286" spans="1:7" x14ac:dyDescent="0.15">
      <c r="A286" t="str">
        <f>HYPERLINK("./new_k5/query_cmdrels_weight_analyze/0.1_0.1_0.8/so_6283167.xlsx","so_6283167")</f>
        <v>so_6283167</v>
      </c>
      <c r="B286">
        <v>0.25</v>
      </c>
      <c r="C286">
        <v>0</v>
      </c>
      <c r="D286">
        <v>0.25</v>
      </c>
      <c r="E286">
        <v>8.3333333333333329E-2</v>
      </c>
      <c r="F286">
        <v>0.25</v>
      </c>
      <c r="G286">
        <v>0.35833333333333328</v>
      </c>
    </row>
    <row r="287" spans="1:7" x14ac:dyDescent="0.15">
      <c r="A287" t="str">
        <f>HYPERLINK("./new_k5/query_cmdrels_weight_analyze/0.1_0.1_0.8/so_6329505.xlsx","so_6329505")</f>
        <v>so_6329505</v>
      </c>
      <c r="B287">
        <v>0</v>
      </c>
      <c r="C287">
        <v>0</v>
      </c>
      <c r="D287">
        <v>0.1</v>
      </c>
      <c r="E287">
        <v>6.6666666666666666E-2</v>
      </c>
      <c r="F287">
        <v>0.18</v>
      </c>
      <c r="G287">
        <v>6.6666666666666666E-2</v>
      </c>
    </row>
    <row r="288" spans="1:7" x14ac:dyDescent="0.15">
      <c r="A288" t="str">
        <f>HYPERLINK("./new_k5/query_cmdrels_weight_analyze/0.1_0.1_0.8/so_6423532.xlsx","so_6423532")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HYPERLINK("./new_k5/query_cmdrels_weight_analyze/0.1_0.1_0.8/so_669438.xlsx","so_669438")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0.48333333333333328</v>
      </c>
    </row>
    <row r="290" spans="1:7" x14ac:dyDescent="0.15">
      <c r="A290" t="str">
        <f>HYPERLINK("./new_k5/query_cmdrels_weight_analyze/0.1_0.1_0.8/so_7052875.xlsx","so_7052875")</f>
        <v>so_7052875</v>
      </c>
      <c r="B290">
        <v>0.2</v>
      </c>
      <c r="C290">
        <v>0.2</v>
      </c>
      <c r="D290">
        <v>0.2</v>
      </c>
      <c r="E290">
        <v>0.2</v>
      </c>
      <c r="F290">
        <v>0.2</v>
      </c>
      <c r="G290">
        <v>0.2</v>
      </c>
    </row>
    <row r="291" spans="1:7" x14ac:dyDescent="0.15">
      <c r="A291" t="str">
        <f>HYPERLINK("./new_k5/query_cmdrels_weight_analyze/0.1_0.1_0.8/so_7221757.xlsx","so_7221757")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HYPERLINK("./new_k5/query_cmdrels_weight_analyze/0.1_0.1_0.8/so_750604.xlsx","so_750604")</f>
        <v>so_750604</v>
      </c>
      <c r="B292">
        <v>0</v>
      </c>
      <c r="C292">
        <v>0</v>
      </c>
      <c r="D292">
        <v>0.1111111111111111</v>
      </c>
      <c r="E292">
        <v>0</v>
      </c>
      <c r="F292">
        <v>0.1111111111111111</v>
      </c>
      <c r="G292">
        <v>8.3333333333333329E-2</v>
      </c>
    </row>
    <row r="293" spans="1:7" x14ac:dyDescent="0.15">
      <c r="A293" t="str">
        <f>HYPERLINK("./new_k5/query_cmdrels_weight_analyze/0.1_0.1_0.8/so_7575267.xlsx","so_7575267")</f>
        <v>so_7575267</v>
      </c>
      <c r="B293">
        <v>0</v>
      </c>
      <c r="C293">
        <v>0.25</v>
      </c>
      <c r="D293">
        <v>0</v>
      </c>
      <c r="E293">
        <v>0.41666666666666657</v>
      </c>
      <c r="F293">
        <v>0</v>
      </c>
      <c r="G293">
        <v>0.41666666666666657</v>
      </c>
    </row>
    <row r="294" spans="1:7" x14ac:dyDescent="0.15">
      <c r="A294" t="str">
        <f>HYPERLINK("./new_k5/query_cmdrels_weight_analyze/0.1_0.1_0.8/so_7698488.xlsx","so_7698488")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6.25E-2</v>
      </c>
    </row>
    <row r="295" spans="1:7" x14ac:dyDescent="0.15">
      <c r="A295" t="str">
        <f>HYPERLINK("./new_k5/query_cmdrels_weight_analyze/0.1_0.1_0.8/so_801095.xlsx","so_801095")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0.55555555555555547</v>
      </c>
      <c r="F295">
        <v>0.33333333333333331</v>
      </c>
      <c r="G295">
        <v>0.55555555555555547</v>
      </c>
    </row>
    <row r="296" spans="1:7" x14ac:dyDescent="0.15">
      <c r="A296" t="str">
        <f>HYPERLINK("./new_k5/query_cmdrels_weight_analyze/0.1_0.1_0.8/so_8249705.xlsx","so_8249705")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HYPERLINK("./new_k5/query_cmdrels_weight_analyze/0.1_0.1_0.8/so_8423541.xlsx","so_8423541")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HYPERLINK("./new_k5/query_cmdrels_weight_analyze/0.1_0.1_0.8/so_8654051.xlsx","so_8654051")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0.5</v>
      </c>
    </row>
    <row r="299" spans="1:7" x14ac:dyDescent="0.15">
      <c r="A299" t="str">
        <f>HYPERLINK("./new_k5/query_cmdrels_weight_analyze/0.1_0.1_0.8/so_890262.xlsx","so_890262")</f>
        <v>so_890262</v>
      </c>
      <c r="B299">
        <v>0</v>
      </c>
      <c r="C299">
        <v>0</v>
      </c>
      <c r="D299">
        <v>0</v>
      </c>
      <c r="E299">
        <v>0.38888888888888878</v>
      </c>
      <c r="F299">
        <v>0</v>
      </c>
      <c r="G299">
        <v>0.38888888888888878</v>
      </c>
    </row>
    <row r="300" spans="1:7" x14ac:dyDescent="0.15">
      <c r="A300" t="str">
        <f>HYPERLINK("./new_k5/query_cmdrels_weight_analyze/0.1_0.1_0.8/so_893585.xlsx","so_893585")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HYPERLINK("./new_k5/query_cmdrels_weight_analyze/0.1_0.1_0.8/so_9223460.xlsx","so_9223460")</f>
        <v>so_9223460</v>
      </c>
      <c r="B301">
        <v>0.33333333333333331</v>
      </c>
      <c r="C301">
        <v>0.33333333333333331</v>
      </c>
      <c r="D301">
        <v>0.33333333333333331</v>
      </c>
      <c r="E301">
        <v>0.33333333333333331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HYPERLINK("./new_k5/query_cmdrels_weight_analyze/0.1_0.1_0.8/so_9245638.xlsx","so_9245638")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0.66666666666666663</v>
      </c>
      <c r="F302">
        <v>0.55555555555555547</v>
      </c>
      <c r="G302">
        <v>0.66666666666666663</v>
      </c>
    </row>
    <row r="303" spans="1:7" x14ac:dyDescent="0.15">
      <c r="A303" t="str">
        <f>HYPERLINK("./new_k5/query_cmdrels_weight_analyze/0.1_0.1_0.8/so_9304953.xlsx","so_9304953")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HYPERLINK("./new_k5/query_cmdrels_weight_analyze/0.1_0.1_0.8/so_9361816.xlsx","so_9361816")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0.25</v>
      </c>
    </row>
    <row r="305" spans="1:7" x14ac:dyDescent="0.15">
      <c r="A305" t="str">
        <f>HYPERLINK("./new_k5/query_cmdrels_weight_analyze/0.1_0.1_0.8/su_116617.xlsx","su_116617")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HYPERLINK("./new_k5/query_cmdrels_weight_analyze/0.1_0.1_0.8/su_120045.xlsx","su_120045")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HYPERLINK("./new_k5/query_cmdrels_weight_analyze/0.1_0.1_0.8/su_127863.xlsx","su_127863")</f>
        <v>su_127863</v>
      </c>
      <c r="B307">
        <v>0</v>
      </c>
      <c r="C307">
        <v>0</v>
      </c>
      <c r="D307">
        <v>0.25</v>
      </c>
      <c r="E307">
        <v>0</v>
      </c>
      <c r="F307">
        <v>0.25</v>
      </c>
      <c r="G307">
        <v>0</v>
      </c>
    </row>
    <row r="308" spans="1:7" x14ac:dyDescent="0.15">
      <c r="A308" t="str">
        <f>HYPERLINK("./new_k5/query_cmdrels_weight_analyze/0.1_0.1_0.8/su_135498.xlsx","su_135498")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HYPERLINK("./new_k5/query_cmdrels_weight_analyze/0.1_0.1_0.8/su_147027.xlsx","su_147027")</f>
        <v>su_147027</v>
      </c>
      <c r="B309">
        <v>0</v>
      </c>
      <c r="C309">
        <v>0</v>
      </c>
      <c r="D309">
        <v>0.33333333333333331</v>
      </c>
      <c r="E309">
        <v>0.33333333333333331</v>
      </c>
      <c r="F309">
        <v>0.33333333333333331</v>
      </c>
      <c r="G309">
        <v>0.33333333333333331</v>
      </c>
    </row>
    <row r="310" spans="1:7" x14ac:dyDescent="0.15">
      <c r="A310" t="str">
        <f>HYPERLINK("./new_k5/query_cmdrels_weight_analyze/0.1_0.1_0.8/su_151911.xlsx","su_151911")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6.25E-2</v>
      </c>
    </row>
    <row r="311" spans="1:7" x14ac:dyDescent="0.15">
      <c r="A311" t="str">
        <f>HYPERLINK("./new_k5/query_cmdrels_weight_analyze/0.1_0.1_0.8/su_153415.xlsx","su_153415")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HYPERLINK("./new_k5/query_cmdrels_weight_analyze/0.1_0.1_0.8/su_156189.xlsx","su_156189")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0.40277777777777768</v>
      </c>
    </row>
    <row r="313" spans="1:7" x14ac:dyDescent="0.15">
      <c r="A313" t="str">
        <f>HYPERLINK("./new_k5/query_cmdrels_weight_analyze/0.1_0.1_0.8/su_161531.xlsx","su_161531")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HYPERLINK("./new_k5/query_cmdrels_weight_analyze/0.1_0.1_0.8/su_204209.xlsx","su_204209")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HYPERLINK("./new_k5/query_cmdrels_weight_analyze/0.1_0.1_0.8/su_214390.xlsx","su_214390")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HYPERLINK("./new_k5/query_cmdrels_weight_analyze/0.1_0.1_0.8/su_215483.xlsx","su_215483")</f>
        <v>su_215483</v>
      </c>
      <c r="B316">
        <v>0.5</v>
      </c>
      <c r="C316">
        <v>0.5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HYPERLINK("./new_k5/query_cmdrels_weight_analyze/0.1_0.1_0.8/su_215504.xlsx","su_215504")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0.47916666666666657</v>
      </c>
    </row>
    <row r="318" spans="1:7" x14ac:dyDescent="0.15">
      <c r="A318" t="str">
        <f>HYPERLINK("./new_k5/query_cmdrels_weight_analyze/0.1_0.1_0.8/su_227385.xlsx","su_227385")</f>
        <v>su_227385</v>
      </c>
      <c r="B318">
        <v>0</v>
      </c>
      <c r="C318">
        <v>0</v>
      </c>
      <c r="D318">
        <v>0</v>
      </c>
      <c r="E318">
        <v>0.125</v>
      </c>
      <c r="F318">
        <v>0</v>
      </c>
      <c r="G318">
        <v>0.125</v>
      </c>
    </row>
    <row r="319" spans="1:7" x14ac:dyDescent="0.15">
      <c r="A319" t="str">
        <f>HYPERLINK("./new_k5/query_cmdrels_weight_analyze/0.1_0.1_0.8/su_273254.xlsx","su_273254")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HYPERLINK("./new_k5/query_cmdrels_weight_analyze/0.1_0.1_0.8/su_294161.xlsx","su_294161")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HYPERLINK("./new_k5/query_cmdrels_weight_analyze/0.1_0.1_0.8/su_302396.xlsx","su_302396")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0.33333333333333331</v>
      </c>
      <c r="F321">
        <v>0.45833333333333331</v>
      </c>
      <c r="G321">
        <v>0.59166666666666667</v>
      </c>
    </row>
    <row r="322" spans="1:7" x14ac:dyDescent="0.15">
      <c r="A322" t="str">
        <f>HYPERLINK("./new_k5/query_cmdrels_weight_analyze/0.1_0.1_0.8/su_303981.xlsx","su_303981")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0.45833333333333331</v>
      </c>
    </row>
    <row r="323" spans="1:7" x14ac:dyDescent="0.15">
      <c r="A323" t="str">
        <f>HYPERLINK("./new_k5/query_cmdrels_weight_analyze/0.1_0.1_0.8/su_305128.xlsx","su_305128")</f>
        <v>su_305128</v>
      </c>
      <c r="B323">
        <v>0.5</v>
      </c>
      <c r="C323">
        <v>0.5</v>
      </c>
      <c r="D323">
        <v>1</v>
      </c>
      <c r="E323">
        <v>0.83333333333333326</v>
      </c>
      <c r="F323">
        <v>1</v>
      </c>
      <c r="G323">
        <v>0.83333333333333326</v>
      </c>
    </row>
    <row r="324" spans="1:7" x14ac:dyDescent="0.15">
      <c r="A324" t="str">
        <f>HYPERLINK("./new_k5/query_cmdrels_weight_analyze/0.1_0.1_0.8/su_31512.xlsx","su_31512")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HYPERLINK("./new_k5/query_cmdrels_weight_analyze/0.1_0.1_0.8/su_380520.xlsx","su_380520")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0.1111111111111111</v>
      </c>
      <c r="F325">
        <v>0.33333333333333331</v>
      </c>
      <c r="G325">
        <v>0.24444444444444449</v>
      </c>
    </row>
    <row r="326" spans="1:7" x14ac:dyDescent="0.15">
      <c r="A326" t="str">
        <f>HYPERLINK("./new_k5/query_cmdrels_weight_analyze/0.1_0.1_0.8/su_38981.xlsx","su_38981")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HYPERLINK("./new_k5/query_cmdrels_weight_analyze/0.1_0.1_0.8/su_437330.xlsx","su_437330")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HYPERLINK("./new_k5/query_cmdrels_weight_analyze/0.1_0.1_0.8/su_441379.xlsx","su_441379")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HYPERLINK("./new_k5/query_cmdrels_weight_analyze/0.1_0.1_0.8/su_462788.xlsx","su_462788")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0.22222222222222221</v>
      </c>
      <c r="F329">
        <v>0.30555555555555558</v>
      </c>
      <c r="G329">
        <v>0.30555555555555558</v>
      </c>
    </row>
    <row r="330" spans="1:7" x14ac:dyDescent="0.15">
      <c r="A330" t="str">
        <f>HYPERLINK("./new_k5/query_cmdrels_weight_analyze/0.1_0.1_0.8/su_626606.xlsx","su_626606")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0.66666666666666663</v>
      </c>
    </row>
    <row r="331" spans="1:7" x14ac:dyDescent="0.15">
      <c r="A331" t="str">
        <f>HYPERLINK("./new_k5/query_cmdrels_weight_analyze/0.1_0.1_0.8/su_634469.xlsx","su_634469")</f>
        <v>su_634469</v>
      </c>
      <c r="B331">
        <v>0</v>
      </c>
      <c r="C331">
        <v>0.16666666666666671</v>
      </c>
      <c r="D331">
        <v>0</v>
      </c>
      <c r="E331">
        <v>0.16666666666666671</v>
      </c>
      <c r="F331">
        <v>0</v>
      </c>
      <c r="G331">
        <v>0.16666666666666671</v>
      </c>
    </row>
    <row r="332" spans="1:7" x14ac:dyDescent="0.15">
      <c r="A332" t="str">
        <f>HYPERLINK("./new_k5/query_cmdrels_weight_analyze/0.1_0.1_0.8/su_638616.xlsx","su_638616")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HYPERLINK("./new_k5/query_cmdrels_weight_analyze/0.1_0.1_0.8/su_678113.xlsx","su_678113")</f>
        <v>su_678113</v>
      </c>
      <c r="B333">
        <v>0</v>
      </c>
      <c r="C333">
        <v>0.5</v>
      </c>
      <c r="D333">
        <v>0</v>
      </c>
      <c r="E333">
        <v>0.83333333333333326</v>
      </c>
      <c r="F333">
        <v>0</v>
      </c>
      <c r="G333">
        <v>0.83333333333333326</v>
      </c>
    </row>
    <row r="334" spans="1:7" x14ac:dyDescent="0.15">
      <c r="A334" t="str">
        <f>HYPERLINK("./new_k5/query_cmdrels_weight_analyze/0.1_0.1_0.8/su_686394.xlsx","su_686394")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HYPERLINK("./new_k5/query_cmdrels_weight_analyze/0.1_0.1_0.8/su_716795.xlsx","su_716795")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</v>
      </c>
    </row>
    <row r="336" spans="1:7" x14ac:dyDescent="0.15">
      <c r="A336" t="str">
        <f>HYPERLINK("./new_k5/query_cmdrels_weight_analyze/0.1_0.1_0.8/su_758463.xlsx","su_758463")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HYPERLINK("./new_k5/query_cmdrels_weight_analyze/0.1_0.1_0.8/su_766437.xlsx","su_766437")</f>
        <v>su_766437</v>
      </c>
      <c r="B337">
        <v>0</v>
      </c>
      <c r="C337">
        <v>0</v>
      </c>
      <c r="D337">
        <v>0</v>
      </c>
      <c r="E337">
        <v>0.23333333333333331</v>
      </c>
      <c r="F337">
        <v>0.05</v>
      </c>
      <c r="G337">
        <v>0.3833333333333333</v>
      </c>
    </row>
    <row r="338" spans="1:7" x14ac:dyDescent="0.15">
      <c r="A338" t="str">
        <f>HYPERLINK("./new_k5/query_cmdrels_weight_analyze/0.1_0.1_0.8/su_904001.xlsx","su_904001")</f>
        <v>su_904001</v>
      </c>
      <c r="B338">
        <v>0.5</v>
      </c>
      <c r="C338">
        <v>0.5</v>
      </c>
      <c r="D338">
        <v>0.5</v>
      </c>
      <c r="E338">
        <v>0.83333333333333326</v>
      </c>
      <c r="F338">
        <v>0.5</v>
      </c>
      <c r="G338">
        <v>0.83333333333333326</v>
      </c>
    </row>
    <row r="339" spans="1:7" x14ac:dyDescent="0.15">
      <c r="A339" t="str">
        <f>HYPERLINK("./new_k5/query_cmdrels_weight_analyze/0.1_0.1_0.8/ul_100959.xlsx","ul_100959")</f>
        <v>ul_100959</v>
      </c>
      <c r="B339">
        <v>0</v>
      </c>
      <c r="C339">
        <v>0.5</v>
      </c>
      <c r="D339">
        <v>0.25</v>
      </c>
      <c r="E339">
        <v>0.5</v>
      </c>
      <c r="F339">
        <v>0.25</v>
      </c>
      <c r="G339">
        <v>0.75</v>
      </c>
    </row>
    <row r="340" spans="1:7" x14ac:dyDescent="0.15">
      <c r="A340" t="str">
        <f>HYPERLINK("./new_k5/query_cmdrels_weight_analyze/0.1_0.1_0.8/ul_101073.xlsx","ul_101073")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HYPERLINK("./new_k5/query_cmdrels_weight_analyze/0.1_0.1_0.8/ul_101237.xlsx","ul_101237")</f>
        <v>ul_101237</v>
      </c>
      <c r="B341">
        <v>0</v>
      </c>
      <c r="C341">
        <v>0</v>
      </c>
      <c r="D341">
        <v>0.25</v>
      </c>
      <c r="E341">
        <v>0</v>
      </c>
      <c r="F341">
        <v>0.25</v>
      </c>
      <c r="G341">
        <v>0</v>
      </c>
    </row>
    <row r="342" spans="1:7" x14ac:dyDescent="0.15">
      <c r="A342" t="str">
        <f>HYPERLINK("./new_k5/query_cmdrels_weight_analyze/0.1_0.1_0.8/ul_102752.xlsx","ul_102752")</f>
        <v>ul_102752</v>
      </c>
      <c r="B342">
        <v>0</v>
      </c>
      <c r="C342">
        <v>0.25</v>
      </c>
      <c r="D342">
        <v>0.29166666666666657</v>
      </c>
      <c r="E342">
        <v>0.5</v>
      </c>
      <c r="F342">
        <v>0.29166666666666657</v>
      </c>
      <c r="G342">
        <v>0.88749999999999996</v>
      </c>
    </row>
    <row r="343" spans="1:7" x14ac:dyDescent="0.15">
      <c r="A343" t="str">
        <f>HYPERLINK("./new_k5/query_cmdrels_weight_analyze/0.1_0.1_0.8/ul_108174.xlsx","ul_108174")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HYPERLINK("./new_k5/query_cmdrels_weight_analyze/0.1_0.1_0.8/ul_109536.xlsx","ul_109536")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HYPERLINK("./new_k5/query_cmdrels_weight_analyze/0.1_0.1_0.8/ul_112050.xlsx","ul_112050")</f>
        <v>ul_112050</v>
      </c>
      <c r="B345">
        <v>0</v>
      </c>
      <c r="C345">
        <v>0.25</v>
      </c>
      <c r="D345">
        <v>0.125</v>
      </c>
      <c r="E345">
        <v>0.5</v>
      </c>
      <c r="F345">
        <v>0.125</v>
      </c>
      <c r="G345">
        <v>0.6875</v>
      </c>
    </row>
    <row r="346" spans="1:7" x14ac:dyDescent="0.15">
      <c r="A346" t="str">
        <f>HYPERLINK("./new_k5/query_cmdrels_weight_analyze/0.1_0.1_0.8/ul_116070.xlsx","ul_116070")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0.33333333333333331</v>
      </c>
      <c r="F346">
        <v>0.45833333333333331</v>
      </c>
      <c r="G346">
        <v>0.45833333333333331</v>
      </c>
    </row>
    <row r="347" spans="1:7" x14ac:dyDescent="0.15">
      <c r="A347" t="str">
        <f>HYPERLINK("./new_k5/query_cmdrels_weight_analyze/0.1_0.1_0.8/ul_11851.xlsx","ul_11851")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HYPERLINK("./new_k5/query_cmdrels_weight_analyze/0.1_0.1_0.8/ul_119126.xlsx","ul_119126")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HYPERLINK("./new_k5/query_cmdrels_weight_analyze/0.1_0.1_0.8/ul_121718.xlsx","ul_121718")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HYPERLINK("./new_k5/query_cmdrels_weight_analyze/0.1_0.1_0.8/ul_12227.xlsx","ul_12227")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HYPERLINK("./new_k5/query_cmdrels_weight_analyze/0.1_0.1_0.8/ul_12453.xlsx","ul_12453")</f>
        <v>ul_12453</v>
      </c>
      <c r="B351">
        <v>0</v>
      </c>
      <c r="C351">
        <v>0</v>
      </c>
      <c r="D351">
        <v>0.125</v>
      </c>
      <c r="E351">
        <v>0.125</v>
      </c>
      <c r="F351">
        <v>0.125</v>
      </c>
      <c r="G351">
        <v>0.125</v>
      </c>
    </row>
    <row r="352" spans="1:7" x14ac:dyDescent="0.15">
      <c r="A352" t="str">
        <f>HYPERLINK("./new_k5/query_cmdrels_weight_analyze/0.1_0.1_0.8/ul_12535.xlsx","ul_12535")</f>
        <v>ul_12535</v>
      </c>
      <c r="B352">
        <v>0</v>
      </c>
      <c r="C352">
        <v>0</v>
      </c>
      <c r="D352">
        <v>0</v>
      </c>
      <c r="E352">
        <v>0.23333333333333331</v>
      </c>
      <c r="F352">
        <v>0.05</v>
      </c>
      <c r="G352">
        <v>0.35333333333333328</v>
      </c>
    </row>
    <row r="353" spans="1:7" x14ac:dyDescent="0.15">
      <c r="A353" t="str">
        <f>HYPERLINK("./new_k5/query_cmdrels_weight_analyze/0.1_0.1_0.8/ul_127066.xlsx","ul_127066")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0.41666666666666657</v>
      </c>
    </row>
    <row r="354" spans="1:7" x14ac:dyDescent="0.15">
      <c r="A354" t="str">
        <f>HYPERLINK("./new_k5/query_cmdrels_weight_analyze/0.1_0.1_0.8/ul_128953.xlsx","ul_128953")</f>
        <v>ul_128953</v>
      </c>
      <c r="B354">
        <v>0</v>
      </c>
      <c r="C354">
        <v>0.33333333333333331</v>
      </c>
      <c r="D354">
        <v>0.38888888888888878</v>
      </c>
      <c r="E354">
        <v>0.55555555555555547</v>
      </c>
      <c r="F354">
        <v>0.38888888888888878</v>
      </c>
      <c r="G354">
        <v>0.55555555555555547</v>
      </c>
    </row>
    <row r="355" spans="1:7" x14ac:dyDescent="0.15">
      <c r="A355" t="str">
        <f>HYPERLINK("./new_k5/query_cmdrels_weight_analyze/0.1_0.1_0.8/ul_134829.xlsx","ul_134829")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0.5</v>
      </c>
    </row>
    <row r="356" spans="1:7" x14ac:dyDescent="0.15">
      <c r="A356" t="str">
        <f>HYPERLINK("./new_k5/query_cmdrels_weight_analyze/0.1_0.1_0.8/ul_136371.xlsx","ul_136371")</f>
        <v>ul_136371</v>
      </c>
      <c r="B356">
        <v>0</v>
      </c>
      <c r="C356">
        <v>0</v>
      </c>
      <c r="D356">
        <v>0</v>
      </c>
      <c r="E356">
        <v>0.16666666666666671</v>
      </c>
      <c r="F356">
        <v>0</v>
      </c>
      <c r="G356">
        <v>0.3</v>
      </c>
    </row>
    <row r="357" spans="1:7" x14ac:dyDescent="0.15">
      <c r="A357" t="str">
        <f>HYPERLINK("./new_k5/query_cmdrels_weight_analyze/0.1_0.1_0.8/ul_136884.xlsx","ul_136884")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HYPERLINK("./new_k5/query_cmdrels_weight_analyze/0.1_0.1_0.8/ul_138398.xlsx","ul_138398")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6.25E-2</v>
      </c>
    </row>
    <row r="359" spans="1:7" x14ac:dyDescent="0.15">
      <c r="A359" t="str">
        <f>HYPERLINK("./new_k5/query_cmdrels_weight_analyze/0.1_0.1_0.8/ul_139271.xlsx","ul_139271")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0.33333333333333331</v>
      </c>
      <c r="F359">
        <v>0.33333333333333331</v>
      </c>
      <c r="G359">
        <v>0.33333333333333331</v>
      </c>
    </row>
    <row r="360" spans="1:7" x14ac:dyDescent="0.15">
      <c r="A360" t="str">
        <f>HYPERLINK("./new_k5/query_cmdrels_weight_analyze/0.1_0.1_0.8/ul_140482.xlsx","ul_140482")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0.55555555555555547</v>
      </c>
      <c r="F360">
        <v>0.33333333333333331</v>
      </c>
      <c r="G360">
        <v>0.55555555555555547</v>
      </c>
    </row>
    <row r="361" spans="1:7" x14ac:dyDescent="0.15">
      <c r="A361" t="str">
        <f>HYPERLINK("./new_k5/query_cmdrels_weight_analyze/0.1_0.1_0.8/ul_14191.xlsx","ul_14191")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0.24444444444444449</v>
      </c>
    </row>
    <row r="362" spans="1:7" x14ac:dyDescent="0.15">
      <c r="A362" t="str">
        <f>HYPERLINK("./new_k5/query_cmdrels_weight_analyze/0.1_0.1_0.8/ul_145929.xlsx","ul_145929")</f>
        <v>ul_145929</v>
      </c>
      <c r="B362">
        <v>0</v>
      </c>
      <c r="C362">
        <v>0</v>
      </c>
      <c r="D362">
        <v>0.16666666666666671</v>
      </c>
      <c r="E362">
        <v>0.25</v>
      </c>
      <c r="F362">
        <v>0.16666666666666671</v>
      </c>
      <c r="G362">
        <v>0.45</v>
      </c>
    </row>
    <row r="363" spans="1:7" x14ac:dyDescent="0.15">
      <c r="A363" t="str">
        <f>HYPERLINK("./new_k5/query_cmdrels_weight_analyze/0.1_0.1_0.8/ul_148985.xlsx","ul_148985")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HYPERLINK("./new_k5/query_cmdrels_weight_analyze/0.1_0.1_0.8/ul_15405.xlsx","ul_15405")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0.6875</v>
      </c>
    </row>
    <row r="365" spans="1:7" x14ac:dyDescent="0.15">
      <c r="A365" t="str">
        <f>HYPERLINK("./new_k5/query_cmdrels_weight_analyze/0.1_0.1_0.8/ul_155551.xlsx","ul_155551")</f>
        <v>ul_155551</v>
      </c>
      <c r="B365">
        <v>0</v>
      </c>
      <c r="C365">
        <v>0.5</v>
      </c>
      <c r="D365">
        <v>0</v>
      </c>
      <c r="E365">
        <v>0.5</v>
      </c>
      <c r="F365">
        <v>0</v>
      </c>
      <c r="G365">
        <v>0.75</v>
      </c>
    </row>
    <row r="366" spans="1:7" x14ac:dyDescent="0.15">
      <c r="A366" t="str">
        <f>HYPERLINK("./new_k5/query_cmdrels_weight_analyze/0.1_0.1_0.8/ul_159672.xlsx","ul_159672")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HYPERLINK("./new_k5/query_cmdrels_weight_analyze/0.1_0.1_0.8/ul_163845.xlsx","ul_163845")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HYPERLINK("./new_k5/query_cmdrels_weight_analyze/0.1_0.1_0.8/ul_16407.xlsx","ul_16407")</f>
        <v>ul_16407</v>
      </c>
      <c r="B368">
        <v>0.5</v>
      </c>
      <c r="C368">
        <v>0.5</v>
      </c>
      <c r="D368">
        <v>0.5</v>
      </c>
      <c r="E368">
        <v>0.83333333333333326</v>
      </c>
      <c r="F368">
        <v>0.75</v>
      </c>
      <c r="G368">
        <v>0.83333333333333326</v>
      </c>
    </row>
    <row r="369" spans="1:7" x14ac:dyDescent="0.15">
      <c r="A369" t="str">
        <f>HYPERLINK("./new_k5/query_cmdrels_weight_analyze/0.1_0.1_0.8/ul_166558.xlsx","ul_166558")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HYPERLINK("./new_k5/query_cmdrels_weight_analyze/0.1_0.1_0.8/ul_171314.xlsx","ul_171314")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0.35</v>
      </c>
    </row>
    <row r="371" spans="1:7" x14ac:dyDescent="0.15">
      <c r="A371" t="str">
        <f>HYPERLINK("./new_k5/query_cmdrels_weight_analyze/0.1_0.1_0.8/ul_182032.xlsx","ul_182032")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HYPERLINK("./new_k5/query_cmdrels_weight_analyze/0.1_0.1_0.8/ul_19344.xlsx","ul_19344")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HYPERLINK("./new_k5/query_cmdrels_weight_analyze/0.1_0.1_0.8/ul_19369.xlsx","ul_19369")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HYPERLINK("./new_k5/query_cmdrels_weight_analyze/0.1_0.1_0.8/ul_19485.xlsx","ul_19485")</f>
        <v>ul_19485</v>
      </c>
      <c r="B374">
        <v>0</v>
      </c>
      <c r="C374">
        <v>0</v>
      </c>
      <c r="D374">
        <v>0</v>
      </c>
      <c r="E374">
        <v>0.33333333333333331</v>
      </c>
      <c r="F374">
        <v>0</v>
      </c>
      <c r="G374">
        <v>0.33333333333333331</v>
      </c>
    </row>
    <row r="375" spans="1:7" x14ac:dyDescent="0.15">
      <c r="A375" t="str">
        <f>HYPERLINK("./new_k5/query_cmdrels_weight_analyze/0.1_0.1_0.8/ul_20370.xlsx","ul_20370")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15">
      <c r="A376" t="str">
        <f>HYPERLINK("./new_k5/query_cmdrels_weight_analyze/0.1_0.1_0.8/ul_211817.xlsx","ul_211817")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HYPERLINK("./new_k5/query_cmdrels_weight_analyze/0.1_0.1_0.8/ul_212925.xlsx","ul_212925")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HYPERLINK("./new_k5/query_cmdrels_weight_analyze/0.1_0.1_0.8/ul_21471.xlsx","ul_21471")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HYPERLINK("./new_k5/query_cmdrels_weight_analyze/0.1_0.1_0.8/ul_22545.xlsx","ul_22545")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HYPERLINK("./new_k5/query_cmdrels_weight_analyze/0.1_0.1_0.8/ul_230481.xlsx","ul_230481")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0.33333333333333331</v>
      </c>
      <c r="F380">
        <v>0.33333333333333331</v>
      </c>
      <c r="G380">
        <v>0.33333333333333331</v>
      </c>
    </row>
    <row r="381" spans="1:7" x14ac:dyDescent="0.15">
      <c r="A381" t="str">
        <f>HYPERLINK("./new_k5/query_cmdrels_weight_analyze/0.1_0.1_0.8/ul_230673.xlsx","ul_230673")</f>
        <v>ul_230673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0.125</v>
      </c>
    </row>
    <row r="382" spans="1:7" x14ac:dyDescent="0.15">
      <c r="A382" t="str">
        <f>HYPERLINK("./new_k5/query_cmdrels_weight_analyze/0.1_0.1_0.8/ul_230800.xlsx","ul_230800")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HYPERLINK("./new_k5/query_cmdrels_weight_analyze/0.1_0.1_0.8/ul_232384.xlsx","ul_232384")</f>
        <v>ul_232384</v>
      </c>
      <c r="B383">
        <v>0</v>
      </c>
      <c r="C383">
        <v>0.5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HYPERLINK("./new_k5/query_cmdrels_weight_analyze/0.1_0.1_0.8/ul_24441.xlsx","ul_24441")</f>
        <v>ul_24441</v>
      </c>
      <c r="B384">
        <v>0</v>
      </c>
      <c r="C384">
        <v>0</v>
      </c>
      <c r="D384">
        <v>0</v>
      </c>
      <c r="E384">
        <v>0.25</v>
      </c>
      <c r="F384">
        <v>0</v>
      </c>
      <c r="G384">
        <v>0.25</v>
      </c>
    </row>
    <row r="385" spans="1:7" x14ac:dyDescent="0.15">
      <c r="A385" t="str">
        <f>HYPERLINK("./new_k5/query_cmdrels_weight_analyze/0.1_0.1_0.8/ul_246535.xlsx","ul_246535")</f>
        <v>ul_246535</v>
      </c>
      <c r="B385">
        <v>0.2</v>
      </c>
      <c r="C385">
        <v>0.2</v>
      </c>
      <c r="D385">
        <v>0.2</v>
      </c>
      <c r="E385">
        <v>0.2</v>
      </c>
      <c r="F385">
        <v>0.2</v>
      </c>
      <c r="G385">
        <v>0.3</v>
      </c>
    </row>
    <row r="386" spans="1:7" x14ac:dyDescent="0.15">
      <c r="A386" t="str">
        <f>HYPERLINK("./new_k5/query_cmdrels_weight_analyze/0.1_0.1_0.8/ul_259791.xlsx","ul_259791")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HYPERLINK("./new_k5/query_cmdrels_weight_analyze/0.1_0.1_0.8/ul_273971.xlsx","ul_273971")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0.33333333333333331</v>
      </c>
      <c r="F387">
        <v>0.43333333333333329</v>
      </c>
      <c r="G387">
        <v>0.43333333333333329</v>
      </c>
    </row>
    <row r="388" spans="1:7" x14ac:dyDescent="0.15">
      <c r="A388" t="str">
        <f>HYPERLINK("./new_k5/query_cmdrels_weight_analyze/0.1_0.1_0.8/ul_28553.xlsx","ul_28553")</f>
        <v>ul_28553</v>
      </c>
      <c r="B388">
        <v>0.25</v>
      </c>
      <c r="C388">
        <v>0</v>
      </c>
      <c r="D388">
        <v>0.5</v>
      </c>
      <c r="E388">
        <v>0</v>
      </c>
      <c r="F388">
        <v>0.5</v>
      </c>
      <c r="G388">
        <v>0</v>
      </c>
    </row>
    <row r="389" spans="1:7" x14ac:dyDescent="0.15">
      <c r="A389" t="str">
        <f>HYPERLINK("./new_k5/query_cmdrels_weight_analyze/0.1_0.1_0.8/ul_288521.xlsx","ul_288521")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HYPERLINK("./new_k5/query_cmdrels_weight_analyze/0.1_0.1_0.8/ul_32290.xlsx","ul_32290")</f>
        <v>ul_32290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6.25E-2</v>
      </c>
    </row>
    <row r="391" spans="1:7" x14ac:dyDescent="0.15">
      <c r="A391" t="str">
        <f>HYPERLINK("./new_k5/query_cmdrels_weight_analyze/0.1_0.1_0.8/ul_328882.xlsx","ul_328882")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HYPERLINK("./new_k5/query_cmdrels_weight_analyze/0.1_0.1_0.8/ul_35131.xlsx","ul_35131")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0.66666666666666663</v>
      </c>
    </row>
    <row r="393" spans="1:7" x14ac:dyDescent="0.15">
      <c r="A393" t="str">
        <f>HYPERLINK("./new_k5/query_cmdrels_weight_analyze/0.1_0.1_0.8/ul_35333.xlsx","ul_35333")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HYPERLINK("./new_k5/query_cmdrels_weight_analyze/0.1_0.1_0.8/ul_35711.xlsx","ul_35711")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HYPERLINK("./new_k5/query_cmdrels_weight_analyze/0.1_0.1_0.8/ul_3575.xlsx","ul_3575")</f>
        <v>ul_3575</v>
      </c>
      <c r="B395">
        <v>0</v>
      </c>
      <c r="C395">
        <v>0</v>
      </c>
      <c r="D395">
        <v>8.3333333333333329E-2</v>
      </c>
      <c r="E395">
        <v>8.3333333333333329E-2</v>
      </c>
      <c r="F395">
        <v>8.3333333333333329E-2</v>
      </c>
      <c r="G395">
        <v>8.3333333333333329E-2</v>
      </c>
    </row>
    <row r="396" spans="1:7" x14ac:dyDescent="0.15">
      <c r="A396" t="str">
        <f>HYPERLINK("./new_k5/query_cmdrels_weight_analyze/0.1_0.1_0.8/ul_35832.xlsx","ul_35832")</f>
        <v>ul_35832</v>
      </c>
      <c r="B396">
        <v>0.5</v>
      </c>
      <c r="C396">
        <v>0.5</v>
      </c>
      <c r="D396">
        <v>0.5</v>
      </c>
      <c r="E396">
        <v>1</v>
      </c>
      <c r="F396">
        <v>0.5</v>
      </c>
      <c r="G396">
        <v>1</v>
      </c>
    </row>
    <row r="397" spans="1:7" x14ac:dyDescent="0.15">
      <c r="A397" t="str">
        <f>HYPERLINK("./new_k5/query_cmdrels_weight_analyze/0.1_0.1_0.8/ul_370318.xlsx","ul_370318")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0.2857142857142857</v>
      </c>
      <c r="F397">
        <v>0.14285714285714279</v>
      </c>
      <c r="G397">
        <v>0.39285714285714279</v>
      </c>
    </row>
    <row r="398" spans="1:7" x14ac:dyDescent="0.15">
      <c r="A398" t="str">
        <f>HYPERLINK("./new_k5/query_cmdrels_weight_analyze/0.1_0.1_0.8/ul_37329.xlsx","ul_37329")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0.55555555555555547</v>
      </c>
      <c r="F398">
        <v>0.33333333333333331</v>
      </c>
      <c r="G398">
        <v>0.55555555555555547</v>
      </c>
    </row>
    <row r="399" spans="1:7" x14ac:dyDescent="0.15">
      <c r="A399" t="str">
        <f>HYPERLINK("./new_k5/query_cmdrels_weight_analyze/0.1_0.1_0.8/ul_38209.xlsx","ul_38209")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HYPERLINK("./new_k5/query_cmdrels_weight_analyze/0.1_0.1_0.8/ul_41246.xlsx","ul_41246")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HYPERLINK("./new_k5/query_cmdrels_weight_analyze/0.1_0.1_0.8/ul_41362.xlsx","ul_41362")</f>
        <v>ul_41362</v>
      </c>
      <c r="B401">
        <v>0</v>
      </c>
      <c r="C401">
        <v>0</v>
      </c>
      <c r="D401">
        <v>0</v>
      </c>
      <c r="E401">
        <v>0.125</v>
      </c>
      <c r="F401">
        <v>0</v>
      </c>
      <c r="G401">
        <v>0.125</v>
      </c>
    </row>
    <row r="402" spans="1:7" x14ac:dyDescent="0.15">
      <c r="A402" t="str">
        <f>HYPERLINK("./new_k5/query_cmdrels_weight_analyze/0.1_0.1_0.8/ul_48200.xlsx","ul_48200")</f>
        <v>ul_48200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0.32500000000000001</v>
      </c>
    </row>
    <row r="403" spans="1:7" x14ac:dyDescent="0.15">
      <c r="A403" t="str">
        <f>HYPERLINK("./new_k5/query_cmdrels_weight_analyze/0.1_0.1_0.8/ul_50098.xlsx","ul_50098")</f>
        <v>ul_50098</v>
      </c>
      <c r="B403">
        <v>0</v>
      </c>
      <c r="C403">
        <v>0.1</v>
      </c>
      <c r="D403">
        <v>0.1166666666666667</v>
      </c>
      <c r="E403">
        <v>0.16666666666666671</v>
      </c>
      <c r="F403">
        <v>0.1166666666666667</v>
      </c>
      <c r="G403">
        <v>0.24166666666666661</v>
      </c>
    </row>
    <row r="404" spans="1:7" x14ac:dyDescent="0.15">
      <c r="A404" t="str">
        <f>HYPERLINK("./new_k5/query_cmdrels_weight_analyze/0.1_0.1_0.8/ul_50785.xlsx","ul_50785")</f>
        <v>ul_50785</v>
      </c>
      <c r="B404">
        <v>0.25</v>
      </c>
      <c r="C404">
        <v>0.25</v>
      </c>
      <c r="D404">
        <v>0.25</v>
      </c>
      <c r="E404">
        <v>0.5</v>
      </c>
      <c r="F404">
        <v>0.25</v>
      </c>
      <c r="G404">
        <v>0.6875</v>
      </c>
    </row>
    <row r="405" spans="1:7" x14ac:dyDescent="0.15">
      <c r="A405" t="str">
        <f>HYPERLINK("./new_k5/query_cmdrels_weight_analyze/0.1_0.1_0.8/ul_5085.xlsx","ul_5085")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HYPERLINK("./new_k5/query_cmdrels_weight_analyze/0.1_0.1_0.8/ul_53737.xlsx","ul_53737")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HYPERLINK("./new_k5/query_cmdrels_weight_analyze/0.1_0.1_0.8/ul_55125.xlsx","ul_55125")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HYPERLINK("./new_k5/query_cmdrels_weight_analyze/0.1_0.1_0.8/ul_56453.xlsx","ul_56453")</f>
        <v>ul_56453</v>
      </c>
      <c r="B408">
        <v>0</v>
      </c>
      <c r="C408">
        <v>0</v>
      </c>
      <c r="D408">
        <v>8.3333333333333329E-2</v>
      </c>
      <c r="E408">
        <v>0.125</v>
      </c>
      <c r="F408">
        <v>8.3333333333333329E-2</v>
      </c>
      <c r="G408">
        <v>0.125</v>
      </c>
    </row>
    <row r="409" spans="1:7" x14ac:dyDescent="0.15">
      <c r="A409" t="str">
        <f>HYPERLINK("./new_k5/query_cmdrels_weight_analyze/0.1_0.1_0.8/ul_63648.xlsx","ul_63648")</f>
        <v>ul_63648</v>
      </c>
      <c r="B409">
        <v>0</v>
      </c>
      <c r="C409">
        <v>0</v>
      </c>
      <c r="D409">
        <v>0.125</v>
      </c>
      <c r="E409">
        <v>8.3333333333333329E-2</v>
      </c>
      <c r="F409">
        <v>0.25</v>
      </c>
      <c r="G409">
        <v>8.3333333333333329E-2</v>
      </c>
    </row>
    <row r="410" spans="1:7" x14ac:dyDescent="0.15">
      <c r="A410" t="str">
        <f>HYPERLINK("./new_k5/query_cmdrels_weight_analyze/0.1_0.1_0.8/ul_6402.xlsx","ul_6402")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0.33333333333333331</v>
      </c>
    </row>
    <row r="411" spans="1:7" x14ac:dyDescent="0.15">
      <c r="A411" t="str">
        <f>HYPERLINK("./new_k5/query_cmdrels_weight_analyze/0.1_0.1_0.8/ul_65106.xlsx","ul_65106")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0.91666666666666663</v>
      </c>
    </row>
    <row r="412" spans="1:7" x14ac:dyDescent="0.15">
      <c r="A412" t="str">
        <f>HYPERLINK("./new_k5/query_cmdrels_weight_analyze/0.1_0.1_0.8/ul_65932.xlsx","ul_65932")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HYPERLINK("./new_k5/query_cmdrels_weight_analyze/0.1_0.1_0.8/ul_6596.xlsx","ul_6596")</f>
        <v>ul_6596</v>
      </c>
      <c r="B413">
        <v>0.2</v>
      </c>
      <c r="C413">
        <v>0.2</v>
      </c>
      <c r="D413">
        <v>0.6</v>
      </c>
      <c r="E413">
        <v>0.6</v>
      </c>
      <c r="F413">
        <v>0.6</v>
      </c>
      <c r="G413">
        <v>0.76</v>
      </c>
    </row>
    <row r="414" spans="1:7" x14ac:dyDescent="0.15">
      <c r="A414" t="str">
        <f>HYPERLINK("./new_k5/query_cmdrels_weight_analyze/0.1_0.1_0.8/ul_67503.xlsx","ul_67503")</f>
        <v>ul_67503</v>
      </c>
      <c r="B414">
        <v>0</v>
      </c>
      <c r="C414">
        <v>0.5</v>
      </c>
      <c r="D414">
        <v>0.25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HYPERLINK("./new_k5/query_cmdrels_weight_analyze/0.1_0.1_0.8/ul_67592.xlsx","ul_67592")</f>
        <v>ul_67592</v>
      </c>
      <c r="B415">
        <v>0.33333333333333331</v>
      </c>
      <c r="C415">
        <v>0</v>
      </c>
      <c r="D415">
        <v>0.33333333333333331</v>
      </c>
      <c r="E415">
        <v>0</v>
      </c>
      <c r="F415">
        <v>0.33333333333333331</v>
      </c>
      <c r="G415">
        <v>8.3333333333333329E-2</v>
      </c>
    </row>
    <row r="416" spans="1:7" x14ac:dyDescent="0.15">
      <c r="A416" t="str">
        <f>HYPERLINK("./new_k5/query_cmdrels_weight_analyze/0.1_0.1_0.8/ul_70581.xlsx","ul_70581")</f>
        <v>ul_70581</v>
      </c>
      <c r="B416">
        <v>0</v>
      </c>
      <c r="C416">
        <v>0</v>
      </c>
      <c r="D416">
        <v>0.1</v>
      </c>
      <c r="E416">
        <v>6.6666666666666666E-2</v>
      </c>
      <c r="F416">
        <v>0.1</v>
      </c>
      <c r="G416">
        <v>6.6666666666666666E-2</v>
      </c>
    </row>
    <row r="417" spans="1:7" x14ac:dyDescent="0.15">
      <c r="A417" t="str">
        <f>HYPERLINK("./new_k5/query_cmdrels_weight_analyze/0.1_0.1_0.8/ul_70614.xlsx","ul_70614")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HYPERLINK("./new_k5/query_cmdrels_weight_analyze/0.1_0.1_0.8/ul_71465.xlsx","ul_71465")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HYPERLINK("./new_k5/query_cmdrels_weight_analyze/0.1_0.1_0.8/ul_7226.xlsx","ul_7226")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0.55555555555555547</v>
      </c>
      <c r="F419">
        <v>0.33333333333333331</v>
      </c>
      <c r="G419">
        <v>0.55555555555555547</v>
      </c>
    </row>
    <row r="420" spans="1:7" x14ac:dyDescent="0.15">
      <c r="A420" t="str">
        <f>HYPERLINK("./new_k5/query_cmdrels_weight_analyze/0.1_0.1_0.8/ul_78182.xlsx","ul_78182")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HYPERLINK("./new_k5/query_cmdrels_weight_analyze/0.1_0.1_0.8/ul_79678.xlsx","ul_79678")</f>
        <v>ul_79678</v>
      </c>
      <c r="B421">
        <v>0</v>
      </c>
      <c r="C421">
        <v>0</v>
      </c>
      <c r="D421">
        <v>0.25</v>
      </c>
      <c r="E421">
        <v>0.25</v>
      </c>
      <c r="F421">
        <v>0.25</v>
      </c>
      <c r="G421">
        <v>0.25</v>
      </c>
    </row>
    <row r="422" spans="1:7" x14ac:dyDescent="0.15">
      <c r="A422" t="str">
        <f>HYPERLINK("./new_k5/query_cmdrels_weight_analyze/0.1_0.1_0.8/ul_79702.xlsx","ul_79702")</f>
        <v>ul_79702</v>
      </c>
      <c r="B422">
        <v>0</v>
      </c>
      <c r="C422">
        <v>0.33333333333333331</v>
      </c>
      <c r="D422">
        <v>0</v>
      </c>
      <c r="E422">
        <v>0.66666666666666663</v>
      </c>
      <c r="F422">
        <v>0</v>
      </c>
      <c r="G422">
        <v>0.91666666666666663</v>
      </c>
    </row>
    <row r="423" spans="1:7" x14ac:dyDescent="0.15">
      <c r="A423" t="str">
        <f>HYPERLINK("./new_k5/query_cmdrels_weight_analyze/0.1_0.1_0.8/ul_83593.xlsx","ul_83593")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HYPERLINK("./new_k5/query_cmdrels_weight_analyze/0.1_0.1_0.8/ul_84381.xlsx","ul_84381")</f>
        <v>ul_84381</v>
      </c>
      <c r="B424">
        <v>0</v>
      </c>
      <c r="C424">
        <v>0.33333333333333331</v>
      </c>
      <c r="D424">
        <v>0.16666666666666671</v>
      </c>
      <c r="E424">
        <v>0.33333333333333331</v>
      </c>
      <c r="F424">
        <v>0.16666666666666671</v>
      </c>
      <c r="G424">
        <v>0.33333333333333331</v>
      </c>
    </row>
    <row r="425" spans="1:7" x14ac:dyDescent="0.15">
      <c r="A425" t="str">
        <f>HYPERLINK("./new_k5/query_cmdrels_weight_analyze/0.1_0.1_0.8/ul_85180.xlsx","ul_85180")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0.1111111111111111</v>
      </c>
    </row>
    <row r="426" spans="1:7" x14ac:dyDescent="0.15">
      <c r="A426" t="str">
        <f>HYPERLINK("./new_k5/query_cmdrels_weight_analyze/0.1_0.1_0.8/ul_86071.xlsx","ul_86071")</f>
        <v>ul_86071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0.125</v>
      </c>
    </row>
    <row r="427" spans="1:7" x14ac:dyDescent="0.15">
      <c r="A427" t="str">
        <f>HYPERLINK("./new_k5/query_cmdrels_weight_analyze/0.1_0.1_0.8/ul_86729.xlsx","ul_86729")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HYPERLINK("./new_k5/query_cmdrels_weight_analyze/0.1_0.1_0.8/ul_88824.xlsx","ul_88824")</f>
        <v>ul_88824</v>
      </c>
      <c r="B428">
        <v>0</v>
      </c>
      <c r="C428">
        <v>0</v>
      </c>
      <c r="D428">
        <v>0</v>
      </c>
      <c r="E428">
        <v>0.16666666666666671</v>
      </c>
      <c r="F428">
        <v>0</v>
      </c>
      <c r="G428">
        <v>0.33333333333333331</v>
      </c>
    </row>
    <row r="429" spans="1:7" x14ac:dyDescent="0.15">
      <c r="A429" t="str">
        <f>HYPERLINK("./new_k5/query_cmdrels_weight_analyze/0.1_0.1_0.8/ul_8945.xlsx","ul_8945")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HYPERLINK("./new_k5/query_cmdrels_weight_analyze/0.1_0.1_0.8/ul_89933.xlsx","ul_89933")</f>
        <v>ul_89933</v>
      </c>
      <c r="B430">
        <v>0.5</v>
      </c>
      <c r="C430">
        <v>0</v>
      </c>
      <c r="D430">
        <v>0.5</v>
      </c>
      <c r="E430">
        <v>0</v>
      </c>
      <c r="F430">
        <v>0.5</v>
      </c>
      <c r="G430">
        <v>0</v>
      </c>
    </row>
    <row r="431" spans="1:7" x14ac:dyDescent="0.15">
      <c r="A431" t="str">
        <f>HYPERLINK("./new_k5/query_cmdrels_weight_analyze/0.1_0.1_0.8/ul_91297.xlsx","ul_91297")</f>
        <v>ul_91297</v>
      </c>
      <c r="B431">
        <v>0</v>
      </c>
      <c r="C431">
        <v>0</v>
      </c>
      <c r="D431">
        <v>0</v>
      </c>
      <c r="E431">
        <v>0.33333333333333331</v>
      </c>
      <c r="F431">
        <v>0</v>
      </c>
      <c r="G431">
        <v>0.33333333333333331</v>
      </c>
    </row>
    <row r="432" spans="1:7" x14ac:dyDescent="0.15">
      <c r="A432" t="str">
        <f>HYPERLINK("./new_k5/query_cmdrels_weight_analyze/0.1_0.1_0.8/ul_9252.xlsx","ul_9252")</f>
        <v>ul_9252</v>
      </c>
      <c r="B432">
        <v>0</v>
      </c>
      <c r="C432">
        <v>0</v>
      </c>
      <c r="D432">
        <v>0.23333333333333331</v>
      </c>
      <c r="E432">
        <v>0</v>
      </c>
      <c r="F432">
        <v>0.23333333333333331</v>
      </c>
      <c r="G432">
        <v>0.04</v>
      </c>
    </row>
    <row r="433" spans="1:7" x14ac:dyDescent="0.15">
      <c r="A433" t="str">
        <f>HYPERLINK("./new_k5/query_cmdrels_weight_analyze/0.1_0.1_0.8/ul_92560.xlsx","ul_92560")</f>
        <v>ul_92560</v>
      </c>
      <c r="B433">
        <v>0</v>
      </c>
      <c r="C433">
        <v>0</v>
      </c>
      <c r="D433">
        <v>0</v>
      </c>
      <c r="E433">
        <v>0.25</v>
      </c>
      <c r="F433">
        <v>0</v>
      </c>
      <c r="G433">
        <v>0.45</v>
      </c>
    </row>
    <row r="434" spans="1:7" x14ac:dyDescent="0.15">
      <c r="A434" t="str">
        <f>HYPERLINK("./new_k5/query_cmdrels_weight_analyze/0.1_0.1_0.8/ul_92799.xlsx","ul_92799")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0.27777777777777768</v>
      </c>
      <c r="F434">
        <v>0.53611111111111109</v>
      </c>
      <c r="G434">
        <v>0.53611111111111109</v>
      </c>
    </row>
    <row r="435" spans="1:7" x14ac:dyDescent="0.15">
      <c r="A435" t="str">
        <f>HYPERLINK("./new_k5/query_cmdrels_weight_analyze/0.1_0.1_0.8/ul_93139.xlsx","ul_93139")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HYPERLINK("./new_k5/query_cmdrels_weight_analyze/0.1_0.1_0.8/ul_98461.xlsx","ul_98461")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HYPERLINK("./new_k5/query_cmdrels_weight_analyze/0.3_0.4_0.3/au_102733.xlsx","au_102733")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HYPERLINK("./new_k5/query_cmdrels_weight_analyze/0.3_0.4_0.3/au_1029436.xlsx","au_1029436")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HYPERLINK("./new_k5/query_cmdrels_weight_analyze/0.3_0.4_0.3/au_1029502.xlsx","au_1029502")</f>
        <v>au_1029502</v>
      </c>
      <c r="B5">
        <v>0.25</v>
      </c>
      <c r="C5">
        <v>0.25</v>
      </c>
      <c r="D5">
        <v>0.25</v>
      </c>
      <c r="E5">
        <v>0.25</v>
      </c>
      <c r="F5">
        <v>0.375</v>
      </c>
      <c r="G5">
        <v>0.25</v>
      </c>
    </row>
    <row r="6" spans="1:7" x14ac:dyDescent="0.15">
      <c r="A6" t="str">
        <f>HYPERLINK("./new_k5/query_cmdrels_weight_analyze/0.3_0.4_0.3/au_1029531.xlsx","au_1029531")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HYPERLINK("./new_k5/query_cmdrels_weight_analyze/0.3_0.4_0.3/au_104542.xlsx","au_104542")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HYPERLINK("./new_k5/query_cmdrels_weight_analyze/0.3_0.4_0.3/au_109070.xlsx","au_109070")</f>
        <v>au_109070</v>
      </c>
      <c r="B8">
        <v>0</v>
      </c>
      <c r="C8">
        <v>0</v>
      </c>
      <c r="D8">
        <v>0.23333333333333331</v>
      </c>
      <c r="E8">
        <v>0</v>
      </c>
      <c r="F8">
        <v>0.3833333333333333</v>
      </c>
      <c r="G8">
        <v>0.05</v>
      </c>
    </row>
    <row r="9" spans="1:7" x14ac:dyDescent="0.15">
      <c r="A9" t="str">
        <f>HYPERLINK("./new_k5/query_cmdrels_weight_analyze/0.3_0.4_0.3/au_109381.xlsx","au_109381")</f>
        <v>au_109381</v>
      </c>
      <c r="B9">
        <v>0</v>
      </c>
      <c r="C9">
        <v>0</v>
      </c>
      <c r="D9">
        <v>0.25</v>
      </c>
      <c r="E9">
        <v>0.25</v>
      </c>
      <c r="F9">
        <v>0.25</v>
      </c>
      <c r="G9">
        <v>0.25</v>
      </c>
    </row>
    <row r="10" spans="1:7" x14ac:dyDescent="0.15">
      <c r="A10" t="str">
        <f>HYPERLINK("./new_k5/query_cmdrels_weight_analyze/0.3_0.4_0.3/au_110477.xlsx","au_110477")</f>
        <v>au_110477</v>
      </c>
      <c r="B10">
        <v>0.25</v>
      </c>
      <c r="C10">
        <v>0.25</v>
      </c>
      <c r="D10">
        <v>0.5</v>
      </c>
      <c r="E10">
        <v>0.75</v>
      </c>
      <c r="F10">
        <v>0.5</v>
      </c>
      <c r="G10">
        <v>0.75</v>
      </c>
    </row>
    <row r="11" spans="1:7" x14ac:dyDescent="0.15">
      <c r="A11" t="str">
        <f>HYPERLINK("./new_k5/query_cmdrels_weight_analyze/0.3_0.4_0.3/au_111678.xlsx","au_111678")</f>
        <v>au_111678</v>
      </c>
      <c r="B11">
        <v>0</v>
      </c>
      <c r="C11">
        <v>0.33333333333333331</v>
      </c>
      <c r="D11">
        <v>0.1111111111111111</v>
      </c>
      <c r="E11">
        <v>0.33333333333333331</v>
      </c>
      <c r="F11">
        <v>0.1111111111111111</v>
      </c>
      <c r="G11">
        <v>0.33333333333333331</v>
      </c>
    </row>
    <row r="12" spans="1:7" x14ac:dyDescent="0.15">
      <c r="A12" t="str">
        <f>HYPERLINK("./new_k5/query_cmdrels_weight_analyze/0.3_0.4_0.3/au_112512.xlsx","au_112512")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HYPERLINK("./new_k5/query_cmdrels_weight_analyze/0.3_0.4_0.3/au_115369.xlsx","au_115369")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HYPERLINK("./new_k5/query_cmdrels_weight_analyze/0.3_0.4_0.3/au_11789.xlsx","au_11789")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HYPERLINK("./new_k5/query_cmdrels_weight_analyze/0.3_0.4_0.3/au_117950.xlsx","au_117950")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0.32500000000000001</v>
      </c>
    </row>
    <row r="16" spans="1:7" x14ac:dyDescent="0.15">
      <c r="A16" t="str">
        <f>HYPERLINK("./new_k5/query_cmdrels_weight_analyze/0.3_0.4_0.3/au_122113.xlsx","au_122113")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HYPERLINK("./new_k5/query_cmdrels_weight_analyze/0.3_0.4_0.3/au_123798.xlsx","au_123798")</f>
        <v>au_123798</v>
      </c>
      <c r="B17">
        <v>0</v>
      </c>
      <c r="C17">
        <v>0</v>
      </c>
      <c r="D17">
        <v>5.5555555555555552E-2</v>
      </c>
      <c r="E17">
        <v>5.5555555555555552E-2</v>
      </c>
      <c r="F17">
        <v>0.23888888888888879</v>
      </c>
      <c r="G17">
        <v>0.23888888888888879</v>
      </c>
    </row>
    <row r="18" spans="1:7" x14ac:dyDescent="0.15">
      <c r="A18" t="str">
        <f>HYPERLINK("./new_k5/query_cmdrels_weight_analyze/0.3_0.4_0.3/au_125257.xlsx","au_125257")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HYPERLINK("./new_k5/query_cmdrels_weight_analyze/0.3_0.4_0.3/au_126153.xlsx","au_126153")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0.27777777777777768</v>
      </c>
      <c r="F19">
        <v>0.45833333333333331</v>
      </c>
      <c r="G19">
        <v>0.37777777777777782</v>
      </c>
    </row>
    <row r="20" spans="1:7" x14ac:dyDescent="0.15">
      <c r="A20" t="str">
        <f>HYPERLINK("./new_k5/query_cmdrels_weight_analyze/0.3_0.4_0.3/au_127326.xlsx","au_127326")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HYPERLINK("./new_k5/query_cmdrels_weight_analyze/0.3_0.4_0.3/au_128463.xlsx","au_128463")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HYPERLINK("./new_k5/query_cmdrels_weight_analyze/0.3_0.4_0.3/au_130393.xlsx","au_130393")</f>
        <v>au_130393</v>
      </c>
      <c r="B22">
        <v>0</v>
      </c>
      <c r="C22">
        <v>0.25</v>
      </c>
      <c r="D22">
        <v>0.125</v>
      </c>
      <c r="E22">
        <v>0.25</v>
      </c>
      <c r="F22">
        <v>0.125</v>
      </c>
      <c r="G22">
        <v>0.375</v>
      </c>
    </row>
    <row r="23" spans="1:7" x14ac:dyDescent="0.15">
      <c r="A23" t="str">
        <f>HYPERLINK("./new_k5/query_cmdrels_weight_analyze/0.3_0.4_0.3/au_131570.xlsx","au_131570")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HYPERLINK("./new_k5/query_cmdrels_weight_analyze/0.3_0.4_0.3/au_133318.xlsx","au_133318")</f>
        <v>au_133318</v>
      </c>
      <c r="B24">
        <v>0</v>
      </c>
      <c r="C24">
        <v>0.25</v>
      </c>
      <c r="D24">
        <v>0</v>
      </c>
      <c r="E24">
        <v>0.41666666666666657</v>
      </c>
      <c r="F24">
        <v>0</v>
      </c>
      <c r="G24">
        <v>0.41666666666666657</v>
      </c>
    </row>
    <row r="25" spans="1:7" x14ac:dyDescent="0.15">
      <c r="A25" t="str">
        <f>HYPERLINK("./new_k5/query_cmdrels_weight_analyze/0.3_0.4_0.3/au_133343.xlsx","au_133343")</f>
        <v>au_133343</v>
      </c>
      <c r="B25">
        <v>0</v>
      </c>
      <c r="C25">
        <v>0</v>
      </c>
      <c r="D25">
        <v>0</v>
      </c>
      <c r="E25">
        <v>0.1111111111111111</v>
      </c>
      <c r="F25">
        <v>0</v>
      </c>
      <c r="G25">
        <v>0.27777777777777768</v>
      </c>
    </row>
    <row r="26" spans="1:7" x14ac:dyDescent="0.15">
      <c r="A26" t="str">
        <f>HYPERLINK("./new_k5/query_cmdrels_weight_analyze/0.3_0.4_0.3/au_133389.xlsx","au_133389")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HYPERLINK("./new_k5/query_cmdrels_weight_analyze/0.3_0.4_0.3/au_141277.xlsx","au_141277")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HYPERLINK("./new_k5/query_cmdrels_weight_analyze/0.3_0.4_0.3/au_143819.xlsx","au_143819")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HYPERLINK("./new_k5/query_cmdrels_weight_analyze/0.3_0.4_0.3/au_145935.xlsx","au_145935")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HYPERLINK("./new_k5/query_cmdrels_weight_analyze/0.3_0.4_0.3/au_147241.xlsx","au_147241")</f>
        <v>au_147241</v>
      </c>
      <c r="B30">
        <v>0</v>
      </c>
      <c r="C30">
        <v>0</v>
      </c>
      <c r="D30">
        <v>0.29166666666666657</v>
      </c>
      <c r="E30">
        <v>0.29166666666666657</v>
      </c>
      <c r="F30">
        <v>0.29166666666666657</v>
      </c>
      <c r="G30">
        <v>0.47916666666666657</v>
      </c>
    </row>
    <row r="31" spans="1:7" x14ac:dyDescent="0.15">
      <c r="A31" t="str">
        <f>HYPERLINK("./new_k5/query_cmdrels_weight_analyze/0.3_0.4_0.3/au_147800.xlsx","au_147800")</f>
        <v>au_147800</v>
      </c>
      <c r="B31">
        <v>0</v>
      </c>
      <c r="C31">
        <v>0</v>
      </c>
      <c r="D31">
        <v>0.1111111111111111</v>
      </c>
      <c r="E31">
        <v>0.1111111111111111</v>
      </c>
      <c r="F31">
        <v>0.1111111111111111</v>
      </c>
      <c r="G31">
        <v>0.1111111111111111</v>
      </c>
    </row>
    <row r="32" spans="1:7" x14ac:dyDescent="0.15">
      <c r="A32" t="str">
        <f>HYPERLINK("./new_k5/query_cmdrels_weight_analyze/0.3_0.4_0.3/au_148321.xlsx","au_148321")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0.40277777777777768</v>
      </c>
    </row>
    <row r="33" spans="1:7" x14ac:dyDescent="0.15">
      <c r="A33" t="str">
        <f>HYPERLINK("./new_k5/query_cmdrels_weight_analyze/0.3_0.4_0.3/au_148638.xlsx","au_148638")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HYPERLINK("./new_k5/query_cmdrels_weight_analyze/0.3_0.4_0.3/au_151049.xlsx","au_151049")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HYPERLINK("./new_k5/query_cmdrels_weight_analyze/0.3_0.4_0.3/au_151941.xlsx","au_151941")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HYPERLINK("./new_k5/query_cmdrels_weight_analyze/0.3_0.4_0.3/au_152297.xlsx","au_152297")</f>
        <v>au_152297</v>
      </c>
      <c r="B36">
        <v>0</v>
      </c>
      <c r="C36">
        <v>0</v>
      </c>
      <c r="D36">
        <v>7.1428571428571425E-2</v>
      </c>
      <c r="E36">
        <v>0.16666666666666671</v>
      </c>
      <c r="F36">
        <v>7.1428571428571425E-2</v>
      </c>
      <c r="G36">
        <v>0.25238095238095237</v>
      </c>
    </row>
    <row r="37" spans="1:7" x14ac:dyDescent="0.15">
      <c r="A37" t="str">
        <f>HYPERLINK("./new_k5/query_cmdrels_weight_analyze/0.3_0.4_0.3/au_153976.xlsx","au_153976")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0.16666666666666671</v>
      </c>
      <c r="F37">
        <v>0.33333333333333331</v>
      </c>
      <c r="G37">
        <v>0.35</v>
      </c>
    </row>
    <row r="38" spans="1:7" x14ac:dyDescent="0.15">
      <c r="A38" t="str">
        <f>HYPERLINK("./new_k5/query_cmdrels_weight_analyze/0.3_0.4_0.3/au_154431.xlsx","au_154431")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HYPERLINK("./new_k5/query_cmdrels_weight_analyze/0.3_0.4_0.3/au_159708.xlsx","au_159708")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0.55555555555555547</v>
      </c>
      <c r="F39">
        <v>0.33333333333333331</v>
      </c>
      <c r="G39">
        <v>0.55555555555555547</v>
      </c>
    </row>
    <row r="40" spans="1:7" x14ac:dyDescent="0.15">
      <c r="A40" t="str">
        <f>HYPERLINK("./new_k5/query_cmdrels_weight_analyze/0.3_0.4_0.3/au_160869.xlsx","au_160869")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HYPERLINK("./new_k5/query_cmdrels_weight_analyze/0.3_0.4_0.3/au_161313.xlsx","au_161313")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0.125</v>
      </c>
    </row>
    <row r="42" spans="1:7" x14ac:dyDescent="0.15">
      <c r="A42" t="str">
        <f>HYPERLINK("./new_k5/query_cmdrels_weight_analyze/0.3_0.4_0.3/au_162075.xlsx","au_162075")</f>
        <v>au_162075</v>
      </c>
      <c r="B42">
        <v>0.25</v>
      </c>
      <c r="C42">
        <v>0.25</v>
      </c>
      <c r="D42">
        <v>0.5</v>
      </c>
      <c r="E42">
        <v>0.5</v>
      </c>
      <c r="F42">
        <v>0.5</v>
      </c>
      <c r="G42">
        <v>0.5</v>
      </c>
    </row>
    <row r="43" spans="1:7" x14ac:dyDescent="0.15">
      <c r="A43" t="str">
        <f>HYPERLINK("./new_k5/query_cmdrels_weight_analyze/0.3_0.4_0.3/au_16277.xlsx","au_16277")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0.83333333333333337</v>
      </c>
    </row>
    <row r="44" spans="1:7" x14ac:dyDescent="0.15">
      <c r="A44" t="str">
        <f>HYPERLINK("./new_k5/query_cmdrels_weight_analyze/0.3_0.4_0.3/au_163155.xlsx","au_163155")</f>
        <v>au_163155</v>
      </c>
      <c r="B44">
        <v>0.125</v>
      </c>
      <c r="C44">
        <v>0.125</v>
      </c>
      <c r="D44">
        <v>0.375</v>
      </c>
      <c r="E44">
        <v>0.25</v>
      </c>
      <c r="F44">
        <v>0.5</v>
      </c>
      <c r="G44">
        <v>0.44374999999999998</v>
      </c>
    </row>
    <row r="45" spans="1:7" x14ac:dyDescent="0.15">
      <c r="A45" t="str">
        <f>HYPERLINK("./new_k5/query_cmdrels_weight_analyze/0.3_0.4_0.3/au_164473.xlsx","au_164473")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HYPERLINK("./new_k5/query_cmdrels_weight_analyze/0.3_0.4_0.3/au_16584.xlsx","au_16584")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0.15151515151515149</v>
      </c>
      <c r="F46">
        <v>0.13636363636363641</v>
      </c>
      <c r="G46">
        <v>0.2196969696969697</v>
      </c>
    </row>
    <row r="47" spans="1:7" x14ac:dyDescent="0.15">
      <c r="A47" t="str">
        <f>HYPERLINK("./new_k5/query_cmdrels_weight_analyze/0.3_0.4_0.3/au_166420.xlsx","au_166420")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HYPERLINK("./new_k5/query_cmdrels_weight_analyze/0.3_0.4_0.3/au_169473.xlsx","au_169473")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0.16666666666666671</v>
      </c>
      <c r="F48">
        <v>0.43333333333333329</v>
      </c>
      <c r="G48">
        <v>0.35</v>
      </c>
    </row>
    <row r="49" spans="1:7" x14ac:dyDescent="0.15">
      <c r="A49" t="str">
        <f>HYPERLINK("./new_k5/query_cmdrels_weight_analyze/0.3_0.4_0.3/au_169516.xlsx","au_169516")</f>
        <v>au_169516</v>
      </c>
      <c r="B49">
        <v>0.25</v>
      </c>
      <c r="C49">
        <v>0.25</v>
      </c>
      <c r="D49">
        <v>0.25</v>
      </c>
      <c r="E49">
        <v>0.5</v>
      </c>
      <c r="F49">
        <v>0.25</v>
      </c>
      <c r="G49">
        <v>0.5</v>
      </c>
    </row>
    <row r="50" spans="1:7" x14ac:dyDescent="0.15">
      <c r="A50" t="str">
        <f>HYPERLINK("./new_k5/query_cmdrels_weight_analyze/0.3_0.4_0.3/au_174292.xlsx","au_174292")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HYPERLINK("./new_k5/query_cmdrels_weight_analyze/0.3_0.4_0.3/au_178481.xlsx","au_178481")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HYPERLINK("./new_k5/query_cmdrels_weight_analyze/0.3_0.4_0.3/au_180925.xlsx","au_180925")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HYPERLINK("./new_k5/query_cmdrels_weight_analyze/0.3_0.4_0.3/au_187888.xlsx","au_187888")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HYPERLINK("./new_k5/query_cmdrels_weight_analyze/0.3_0.4_0.3/au_191390.xlsx","au_191390")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HYPERLINK("./new_k5/query_cmdrels_weight_analyze/0.3_0.4_0.3/au_192798.xlsx","au_192798")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HYPERLINK("./new_k5/query_cmdrels_weight_analyze/0.3_0.4_0.3/au_201775.xlsx","au_201775")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0.33333333333333331</v>
      </c>
      <c r="F56">
        <v>0.66666666666666663</v>
      </c>
      <c r="G56">
        <v>0.70000000000000007</v>
      </c>
    </row>
    <row r="57" spans="1:7" x14ac:dyDescent="0.15">
      <c r="A57" t="str">
        <f>HYPERLINK("./new_k5/query_cmdrels_weight_analyze/0.3_0.4_0.3/au_204166.xlsx","au_204166")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HYPERLINK("./new_k5/query_cmdrels_weight_analyze/0.3_0.4_0.3/au_207447.xlsx","au_207447")</f>
        <v>au_207447</v>
      </c>
      <c r="B58">
        <v>0.33333333333333331</v>
      </c>
      <c r="C58">
        <v>0</v>
      </c>
      <c r="D58">
        <v>0.33333333333333331</v>
      </c>
      <c r="E58">
        <v>0.16666666666666671</v>
      </c>
      <c r="F58">
        <v>0.33333333333333331</v>
      </c>
      <c r="G58">
        <v>0.16666666666666671</v>
      </c>
    </row>
    <row r="59" spans="1:7" x14ac:dyDescent="0.15">
      <c r="A59" t="str">
        <f>HYPERLINK("./new_k5/query_cmdrels_weight_analyze/0.3_0.4_0.3/au_210680.xlsx","au_210680")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HYPERLINK("./new_k5/query_cmdrels_weight_analyze/0.3_0.4_0.3/au_214246.xlsx","au_214246")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HYPERLINK("./new_k5/query_cmdrels_weight_analyze/0.3_0.4_0.3/au_214643.xlsx","au_214643")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HYPERLINK("./new_k5/query_cmdrels_weight_analyze/0.3_0.4_0.3/au_2194.xlsx","au_2194")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HYPERLINK("./new_k5/query_cmdrels_weight_analyze/0.3_0.4_0.3/au_221962.xlsx","au_221962")</f>
        <v>au_221962</v>
      </c>
      <c r="B63">
        <v>0</v>
      </c>
      <c r="C63">
        <v>0</v>
      </c>
      <c r="D63">
        <v>5.5555555555555552E-2</v>
      </c>
      <c r="E63">
        <v>8.3333333333333329E-2</v>
      </c>
      <c r="F63">
        <v>0.1388888888888889</v>
      </c>
      <c r="G63">
        <v>0.26666666666666672</v>
      </c>
    </row>
    <row r="64" spans="1:7" x14ac:dyDescent="0.15">
      <c r="A64" t="str">
        <f>HYPERLINK("./new_k5/query_cmdrels_weight_analyze/0.3_0.4_0.3/au_22608.xlsx","au_22608")</f>
        <v>au_22608</v>
      </c>
      <c r="B64">
        <v>0.33333333333333331</v>
      </c>
      <c r="C64">
        <v>0.33333333333333331</v>
      </c>
      <c r="D64">
        <v>0.33333333333333331</v>
      </c>
      <c r="E64">
        <v>0.33333333333333331</v>
      </c>
      <c r="F64">
        <v>0.33333333333333331</v>
      </c>
      <c r="G64">
        <v>0.5</v>
      </c>
    </row>
    <row r="65" spans="1:7" x14ac:dyDescent="0.15">
      <c r="A65" t="str">
        <f>HYPERLINK("./new_k5/query_cmdrels_weight_analyze/0.3_0.4_0.3/au_230698.xlsx","au_230698")</f>
        <v>au_230698</v>
      </c>
      <c r="B65">
        <v>0.125</v>
      </c>
      <c r="C65">
        <v>0.125</v>
      </c>
      <c r="D65">
        <v>0.25</v>
      </c>
      <c r="E65">
        <v>0.25</v>
      </c>
      <c r="F65">
        <v>0.32500000000000001</v>
      </c>
      <c r="G65">
        <v>0.34375</v>
      </c>
    </row>
    <row r="66" spans="1:7" x14ac:dyDescent="0.15">
      <c r="A66" t="str">
        <f>HYPERLINK("./new_k5/query_cmdrels_weight_analyze/0.3_0.4_0.3/au_232442.xlsx","au_232442")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HYPERLINK("./new_k5/query_cmdrels_weight_analyze/0.3_0.4_0.3/au_233378.xlsx","au_233378")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HYPERLINK("./new_k5/query_cmdrels_weight_analyze/0.3_0.4_0.3/au_24027.xlsx","au_24027")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HYPERLINK("./new_k5/query_cmdrels_weight_analyze/0.3_0.4_0.3/au_246647.xlsx","au_246647")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HYPERLINK("./new_k5/query_cmdrels_weight_analyze/0.3_0.4_0.3/au_254424.xlsx","au_254424")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HYPERLINK("./new_k5/query_cmdrels_weight_analyze/0.3_0.4_0.3/au_255890.xlsx","au_255890")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HYPERLINK("./new_k5/query_cmdrels_weight_analyze/0.3_0.4_0.3/au_257248.xlsx","au_257248")</f>
        <v>au_257248</v>
      </c>
      <c r="B72">
        <v>0</v>
      </c>
      <c r="C72">
        <v>0.14285714285714279</v>
      </c>
      <c r="D72">
        <v>0.16666666666666671</v>
      </c>
      <c r="E72">
        <v>0.23809523809523811</v>
      </c>
      <c r="F72">
        <v>0.25238095238095237</v>
      </c>
      <c r="G72">
        <v>0.34523809523809518</v>
      </c>
    </row>
    <row r="73" spans="1:7" x14ac:dyDescent="0.15">
      <c r="A73" t="str">
        <f>HYPERLINK("./new_k5/query_cmdrels_weight_analyze/0.3_0.4_0.3/au_259354.xlsx","au_259354")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0.42857142857142849</v>
      </c>
    </row>
    <row r="74" spans="1:7" x14ac:dyDescent="0.15">
      <c r="A74" t="str">
        <f>HYPERLINK("./new_k5/query_cmdrels_weight_analyze/0.3_0.4_0.3/au_263378.xlsx","au_263378")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0.5</v>
      </c>
    </row>
    <row r="75" spans="1:7" x14ac:dyDescent="0.15">
      <c r="A75" t="str">
        <f>HYPERLINK("./new_k5/query_cmdrels_weight_analyze/0.3_0.4_0.3/au_264215.xlsx","au_264215")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HYPERLINK("./new_k5/query_cmdrels_weight_analyze/0.3_0.4_0.3/au_265176.xlsx","au_265176")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HYPERLINK("./new_k5/query_cmdrels_weight_analyze/0.3_0.4_0.3/au_275704.xlsx","au_275704")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HYPERLINK("./new_k5/query_cmdrels_weight_analyze/0.3_0.4_0.3/au_276669.xlsx","au_276669")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HYPERLINK("./new_k5/query_cmdrels_weight_analyze/0.3_0.4_0.3/au_277565.xlsx","au_277565")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HYPERLINK("./new_k5/query_cmdrels_weight_analyze/0.3_0.4_0.3/au_278403.xlsx","au_278403")</f>
        <v>au_278403</v>
      </c>
      <c r="B80">
        <v>0</v>
      </c>
      <c r="C80">
        <v>0.25</v>
      </c>
      <c r="D80">
        <v>8.3333333333333329E-2</v>
      </c>
      <c r="E80">
        <v>0.25</v>
      </c>
      <c r="F80">
        <v>0.20833333333333329</v>
      </c>
      <c r="G80">
        <v>0.375</v>
      </c>
    </row>
    <row r="81" spans="1:7" x14ac:dyDescent="0.15">
      <c r="A81" t="str">
        <f>HYPERLINK("./new_k5/query_cmdrels_weight_analyze/0.3_0.4_0.3/au_28039.xlsx","au_28039")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HYPERLINK("./new_k5/query_cmdrels_weight_analyze/0.3_0.4_0.3/au_281509.xlsx","au_281509")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HYPERLINK("./new_k5/query_cmdrels_weight_analyze/0.3_0.4_0.3/au_282806.xlsx","au_282806")</f>
        <v>au_282806</v>
      </c>
      <c r="B83">
        <v>0</v>
      </c>
      <c r="C83">
        <v>0.33333333333333331</v>
      </c>
      <c r="D83">
        <v>0.38888888888888878</v>
      </c>
      <c r="E83">
        <v>0.55555555555555547</v>
      </c>
      <c r="F83">
        <v>0.38888888888888878</v>
      </c>
      <c r="G83">
        <v>0.80555555555555547</v>
      </c>
    </row>
    <row r="84" spans="1:7" x14ac:dyDescent="0.15">
      <c r="A84" t="str">
        <f>HYPERLINK("./new_k5/query_cmdrels_weight_analyze/0.3_0.4_0.3/au_283559.xlsx","au_283559")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HYPERLINK("./new_k5/query_cmdrels_weight_analyze/0.3_0.4_0.3/au_285539.xlsx","au_285539")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HYPERLINK("./new_k5/query_cmdrels_weight_analyze/0.3_0.4_0.3/au_287532.xlsx","au_287532")</f>
        <v>au_287532</v>
      </c>
      <c r="B86">
        <v>0</v>
      </c>
      <c r="C86">
        <v>0</v>
      </c>
      <c r="D86">
        <v>0</v>
      </c>
      <c r="E86">
        <v>8.3333333333333329E-2</v>
      </c>
      <c r="F86">
        <v>0</v>
      </c>
      <c r="G86">
        <v>8.3333333333333329E-2</v>
      </c>
    </row>
    <row r="87" spans="1:7" x14ac:dyDescent="0.15">
      <c r="A87" t="str">
        <f>HYPERLINK("./new_k5/query_cmdrels_weight_analyze/0.3_0.4_0.3/au_294257.xlsx","au_294257")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HYPERLINK("./new_k5/query_cmdrels_weight_analyze/0.3_0.4_0.3/au_296155.xlsx","au_296155")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HYPERLINK("./new_k5/query_cmdrels_weight_analyze/0.3_0.4_0.3/au_299975.xlsx","au_299975")</f>
        <v>au_299975</v>
      </c>
      <c r="B89">
        <v>0.25</v>
      </c>
      <c r="C89">
        <v>0</v>
      </c>
      <c r="D89">
        <v>0.5</v>
      </c>
      <c r="E89">
        <v>0.29166666666666657</v>
      </c>
      <c r="F89">
        <v>0.6875</v>
      </c>
      <c r="G89">
        <v>0.29166666666666657</v>
      </c>
    </row>
    <row r="90" spans="1:7" x14ac:dyDescent="0.15">
      <c r="A90" t="str">
        <f>HYPERLINK("./new_k5/query_cmdrels_weight_analyze/0.3_0.4_0.3/au_301096.xlsx","au_301096")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HYPERLINK("./new_k5/query_cmdrels_weight_analyze/0.3_0.4_0.3/au_303593.xlsx","au_303593")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HYPERLINK("./new_k5/query_cmdrels_weight_analyze/0.3_0.4_0.3/au_303849.xlsx","au_303849")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HYPERLINK("./new_k5/query_cmdrels_weight_analyze/0.3_0.4_0.3/au_307541.xlsx","au_307541")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HYPERLINK("./new_k5/query_cmdrels_weight_analyze/0.3_0.4_0.3/au_307688.xlsx","au_307688")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HYPERLINK("./new_k5/query_cmdrels_weight_analyze/0.3_0.4_0.3/au_309047.xlsx","au_309047")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HYPERLINK("./new_k5/query_cmdrels_weight_analyze/0.3_0.4_0.3/au_311558.xlsx","au_311558")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0.41666666666666657</v>
      </c>
    </row>
    <row r="97" spans="1:7" x14ac:dyDescent="0.15">
      <c r="A97" t="str">
        <f>HYPERLINK("./new_k5/query_cmdrels_weight_analyze/0.3_0.4_0.3/au_318973.xlsx","au_318973")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HYPERLINK("./new_k5/query_cmdrels_weight_analyze/0.3_0.4_0.3/au_3205.xlsx","au_3205")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HYPERLINK("./new_k5/query_cmdrels_weight_analyze/0.3_0.4_0.3/au_323131.xlsx","au_323131")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HYPERLINK("./new_k5/query_cmdrels_weight_analyze/0.3_0.4_0.3/au_323392.xlsx","au_323392")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HYPERLINK("./new_k5/query_cmdrels_weight_analyze/0.3_0.4_0.3/au_325368.xlsx","au_325368")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HYPERLINK("./new_k5/query_cmdrels_weight_analyze/0.3_0.4_0.3/au_328162.xlsx","au_328162")</f>
        <v>au_328162</v>
      </c>
      <c r="B102">
        <v>0.33333333333333331</v>
      </c>
      <c r="C102">
        <v>0.33333333333333331</v>
      </c>
      <c r="D102">
        <v>1</v>
      </c>
      <c r="E102">
        <v>0.33333333333333331</v>
      </c>
      <c r="F102">
        <v>1</v>
      </c>
      <c r="G102">
        <v>0.5</v>
      </c>
    </row>
    <row r="103" spans="1:7" x14ac:dyDescent="0.15">
      <c r="A103" t="str">
        <f>HYPERLINK("./new_k5/query_cmdrels_weight_analyze/0.3_0.4_0.3/au_330148.xlsx","au_330148")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HYPERLINK("./new_k5/query_cmdrels_weight_analyze/0.3_0.4_0.3/au_332315.xlsx","au_332315")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HYPERLINK("./new_k5/query_cmdrels_weight_analyze/0.3_0.4_0.3/au_334081.xlsx","au_334081")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HYPERLINK("./new_k5/query_cmdrels_weight_analyze/0.3_0.4_0.3/au_34077.xlsx","au_34077")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0.5</v>
      </c>
      <c r="F106">
        <v>0.33333333333333331</v>
      </c>
      <c r="G106">
        <v>0.6333333333333333</v>
      </c>
    </row>
    <row r="107" spans="1:7" x14ac:dyDescent="0.15">
      <c r="A107" t="str">
        <f>HYPERLINK("./new_k5/query_cmdrels_weight_analyze/0.3_0.4_0.3/au_341428.xlsx","au_341428")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HYPERLINK("./new_k5/query_cmdrels_weight_analyze/0.3_0.4_0.3/au_341584.xlsx","au_341584")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HYPERLINK("./new_k5/query_cmdrels_weight_analyze/0.3_0.4_0.3/au_346864.xlsx","au_346864")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0.14285714285714279</v>
      </c>
      <c r="F109">
        <v>0.23809523809523811</v>
      </c>
      <c r="G109">
        <v>0.2</v>
      </c>
    </row>
    <row r="110" spans="1:7" x14ac:dyDescent="0.15">
      <c r="A110" t="str">
        <f>HYPERLINK("./new_k5/query_cmdrels_weight_analyze/0.3_0.4_0.3/au_351765.xlsx","au_351765")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0.5</v>
      </c>
    </row>
    <row r="111" spans="1:7" x14ac:dyDescent="0.15">
      <c r="A111" t="str">
        <f>HYPERLINK("./new_k5/query_cmdrels_weight_analyze/0.3_0.4_0.3/au_35922.xlsx","au_35922")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HYPERLINK("./new_k5/query_cmdrels_weight_analyze/0.3_0.4_0.3/au_359856.xlsx","au_359856")</f>
        <v>au_359856</v>
      </c>
      <c r="B112">
        <v>0.25</v>
      </c>
      <c r="C112">
        <v>0.25</v>
      </c>
      <c r="D112">
        <v>0.75</v>
      </c>
      <c r="E112">
        <v>0.5</v>
      </c>
      <c r="F112">
        <v>0.95</v>
      </c>
      <c r="G112">
        <v>0.5</v>
      </c>
    </row>
    <row r="113" spans="1:7" x14ac:dyDescent="0.15">
      <c r="A113" t="str">
        <f>HYPERLINK("./new_k5/query_cmdrels_weight_analyze/0.3_0.4_0.3/au_360423.xlsx","au_360423")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HYPERLINK("./new_k5/query_cmdrels_weight_analyze/0.3_0.4_0.3/au_36287.xlsx","au_36287")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HYPERLINK("./new_k5/query_cmdrels_weight_analyze/0.3_0.4_0.3/au_366742.xlsx","au_366742")</f>
        <v>au_366742</v>
      </c>
      <c r="B115">
        <v>0</v>
      </c>
      <c r="C115">
        <v>0</v>
      </c>
      <c r="D115">
        <v>0</v>
      </c>
      <c r="E115">
        <v>0.125</v>
      </c>
      <c r="F115">
        <v>0</v>
      </c>
      <c r="G115">
        <v>0.22500000000000001</v>
      </c>
    </row>
    <row r="116" spans="1:7" x14ac:dyDescent="0.15">
      <c r="A116" t="str">
        <f>HYPERLINK("./new_k5/query_cmdrels_weight_analyze/0.3_0.4_0.3/au_377937.xlsx","au_377937")</f>
        <v>au_377937</v>
      </c>
      <c r="B116">
        <v>0.25</v>
      </c>
      <c r="C116">
        <v>0.25</v>
      </c>
      <c r="D116">
        <v>0.5</v>
      </c>
      <c r="E116">
        <v>0.5</v>
      </c>
      <c r="F116">
        <v>0.5</v>
      </c>
      <c r="G116">
        <v>0.6875</v>
      </c>
    </row>
    <row r="117" spans="1:7" x14ac:dyDescent="0.15">
      <c r="A117" t="str">
        <f>HYPERLINK("./new_k5/query_cmdrels_weight_analyze/0.3_0.4_0.3/au_383997.xlsx","au_383997")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0.39285714285714279</v>
      </c>
    </row>
    <row r="118" spans="1:7" x14ac:dyDescent="0.15">
      <c r="A118" t="str">
        <f>HYPERLINK("./new_k5/query_cmdrels_weight_analyze/0.3_0.4_0.3/au_3883.xlsx","au_3883")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0.35</v>
      </c>
    </row>
    <row r="119" spans="1:7" x14ac:dyDescent="0.15">
      <c r="A119" t="str">
        <f>HYPERLINK("./new_k5/query_cmdrels_weight_analyze/0.3_0.4_0.3/au_396883.xlsx","au_396883")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HYPERLINK("./new_k5/query_cmdrels_weight_analyze/0.3_0.4_0.3/au_39760.xlsx","au_39760")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HYPERLINK("./new_k5/query_cmdrels_weight_analyze/0.3_0.4_0.3/au_398818.xlsx","au_398818")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HYPERLINK("./new_k5/query_cmdrels_weight_analyze/0.3_0.4_0.3/au_400807.xlsx","au_400807")</f>
        <v>au_400807</v>
      </c>
      <c r="B122">
        <v>0</v>
      </c>
      <c r="C122">
        <v>0.33333333333333331</v>
      </c>
      <c r="D122">
        <v>0.16666666666666671</v>
      </c>
      <c r="E122">
        <v>0.55555555555555547</v>
      </c>
      <c r="F122">
        <v>0.16666666666666671</v>
      </c>
      <c r="G122">
        <v>0.75555555555555554</v>
      </c>
    </row>
    <row r="123" spans="1:7" x14ac:dyDescent="0.15">
      <c r="A123" t="str">
        <f>HYPERLINK("./new_k5/query_cmdrels_weight_analyze/0.3_0.4_0.3/au_408611.xlsx","au_408611")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HYPERLINK("./new_k5/query_cmdrels_weight_analyze/0.3_0.4_0.3/au_414737.xlsx","au_414737")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HYPERLINK("./new_k5/query_cmdrels_weight_analyze/0.3_0.4_0.3/au_420722.xlsx","au_420722")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HYPERLINK("./new_k5/query_cmdrels_weight_analyze/0.3_0.4_0.3/au_423942.xlsx","au_423942")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HYPERLINK("./new_k5/query_cmdrels_weight_analyze/0.3_0.4_0.3/au_430382.xlsx","au_430382")</f>
        <v>au_430382</v>
      </c>
      <c r="B127">
        <v>0</v>
      </c>
      <c r="C127">
        <v>0.25</v>
      </c>
      <c r="D127">
        <v>0.29166666666666657</v>
      </c>
      <c r="E127">
        <v>0.5</v>
      </c>
      <c r="F127">
        <v>0.29166666666666657</v>
      </c>
      <c r="G127">
        <v>0.5</v>
      </c>
    </row>
    <row r="128" spans="1:7" x14ac:dyDescent="0.15">
      <c r="A128" t="str">
        <f>HYPERLINK("./new_k5/query_cmdrels_weight_analyze/0.3_0.4_0.3/au_432836.xlsx","au_432836")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HYPERLINK("./new_k5/query_cmdrels_weight_analyze/0.3_0.4_0.3/au_440326.xlsx","au_440326")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HYPERLINK("./new_k5/query_cmdrels_weight_analyze/0.3_0.4_0.3/au_442914.xlsx","au_442914")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HYPERLINK("./new_k5/query_cmdrels_weight_analyze/0.3_0.4_0.3/au_443227.xlsx","au_443227")</f>
        <v>au_443227</v>
      </c>
      <c r="B131">
        <v>0.5</v>
      </c>
      <c r="C131">
        <v>0</v>
      </c>
      <c r="D131">
        <v>0.5</v>
      </c>
      <c r="E131">
        <v>0</v>
      </c>
      <c r="F131">
        <v>0.5</v>
      </c>
      <c r="G131">
        <v>0.125</v>
      </c>
    </row>
    <row r="132" spans="1:7" x14ac:dyDescent="0.15">
      <c r="A132" t="str">
        <f>HYPERLINK("./new_k5/query_cmdrels_weight_analyze/0.3_0.4_0.3/au_44534.xlsx","au_44534")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HYPERLINK("./new_k5/query_cmdrels_weight_analyze/0.3_0.4_0.3/au_451805.xlsx","au_451805")</f>
        <v>au_451805</v>
      </c>
      <c r="B133">
        <v>0.33333333333333331</v>
      </c>
      <c r="C133">
        <v>0.33333333333333331</v>
      </c>
      <c r="D133">
        <v>0.33333333333333331</v>
      </c>
      <c r="E133">
        <v>0.33333333333333331</v>
      </c>
      <c r="F133">
        <v>0.33333333333333331</v>
      </c>
      <c r="G133">
        <v>0.33333333333333331</v>
      </c>
    </row>
    <row r="134" spans="1:7" x14ac:dyDescent="0.15">
      <c r="A134" t="str">
        <f>HYPERLINK("./new_k5/query_cmdrels_weight_analyze/0.3_0.4_0.3/au_464264.xlsx","au_464264")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0.16666666666666671</v>
      </c>
    </row>
    <row r="135" spans="1:7" x14ac:dyDescent="0.15">
      <c r="A135" t="str">
        <f>HYPERLINK("./new_k5/query_cmdrels_weight_analyze/0.3_0.4_0.3/au_468808.xlsx","au_468808")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HYPERLINK("./new_k5/query_cmdrels_weight_analyze/0.3_0.4_0.3/au_469143.xlsx","au_469143")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HYPERLINK("./new_k5/query_cmdrels_weight_analyze/0.3_0.4_0.3/au_470237.xlsx","au_470237")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HYPERLINK("./new_k5/query_cmdrels_weight_analyze/0.3_0.4_0.3/au_473037.xlsx","au_473037")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0.125</v>
      </c>
    </row>
    <row r="139" spans="1:7" x14ac:dyDescent="0.15">
      <c r="A139" t="str">
        <f>HYPERLINK("./new_k5/query_cmdrels_weight_analyze/0.3_0.4_0.3/au_48362.xlsx","au_48362")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HYPERLINK("./new_k5/query_cmdrels_weight_analyze/0.3_0.4_0.3/au_488435.xlsx","au_488435")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HYPERLINK("./new_k5/query_cmdrels_weight_analyze/0.3_0.4_0.3/au_493826.xlsx","au_493826")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HYPERLINK("./new_k5/query_cmdrels_weight_analyze/0.3_0.4_0.3/au_502110.xlsx","au_502110")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HYPERLINK("./new_k5/query_cmdrels_weight_analyze/0.3_0.4_0.3/au_50344.xlsx","au_50344")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HYPERLINK("./new_k5/query_cmdrels_weight_analyze/0.3_0.4_0.3/au_511467.xlsx","au_511467")</f>
        <v>au_511467</v>
      </c>
      <c r="B144">
        <v>0</v>
      </c>
      <c r="C144">
        <v>0.16666666666666671</v>
      </c>
      <c r="D144">
        <v>0.19444444444444439</v>
      </c>
      <c r="E144">
        <v>0.33333333333333331</v>
      </c>
      <c r="F144">
        <v>0.19444444444444439</v>
      </c>
      <c r="G144">
        <v>0.45833333333333331</v>
      </c>
    </row>
    <row r="145" spans="1:7" x14ac:dyDescent="0.15">
      <c r="A145" t="str">
        <f>HYPERLINK("./new_k5/query_cmdrels_weight_analyze/0.3_0.4_0.3/au_513046.xlsx","au_513046")</f>
        <v>au_513046</v>
      </c>
      <c r="B145">
        <v>0.25</v>
      </c>
      <c r="C145">
        <v>0</v>
      </c>
      <c r="D145">
        <v>0.5</v>
      </c>
      <c r="E145">
        <v>8.3333333333333329E-2</v>
      </c>
      <c r="F145">
        <v>0.5</v>
      </c>
      <c r="G145">
        <v>0.35833333333333328</v>
      </c>
    </row>
    <row r="146" spans="1:7" x14ac:dyDescent="0.15">
      <c r="A146" t="str">
        <f>HYPERLINK("./new_k5/query_cmdrels_weight_analyze/0.3_0.4_0.3/au_517354.xlsx","au_517354")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0.34523809523809518</v>
      </c>
    </row>
    <row r="147" spans="1:7" x14ac:dyDescent="0.15">
      <c r="A147" t="str">
        <f>HYPERLINK("./new_k5/query_cmdrels_weight_analyze/0.3_0.4_0.3/au_522431.xlsx","au_522431")</f>
        <v>au_522431</v>
      </c>
      <c r="B147">
        <v>0</v>
      </c>
      <c r="C147">
        <v>0.2</v>
      </c>
      <c r="D147">
        <v>0.23333333333333331</v>
      </c>
      <c r="E147">
        <v>0.33333333333333331</v>
      </c>
      <c r="F147">
        <v>0.54333333333333333</v>
      </c>
      <c r="G147">
        <v>0.48333333333333328</v>
      </c>
    </row>
    <row r="148" spans="1:7" x14ac:dyDescent="0.15">
      <c r="A148" t="str">
        <f>HYPERLINK("./new_k5/query_cmdrels_weight_analyze/0.3_0.4_0.3/au_52773.xlsx","au_52773")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0.05</v>
      </c>
    </row>
    <row r="149" spans="1:7" x14ac:dyDescent="0.15">
      <c r="A149" t="str">
        <f>HYPERLINK("./new_k5/query_cmdrels_weight_analyze/0.3_0.4_0.3/au_528411.xlsx","au_528411")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HYPERLINK("./new_k5/query_cmdrels_weight_analyze/0.3_0.4_0.3/au_53263.xlsx","au_53263")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1</v>
      </c>
    </row>
    <row r="151" spans="1:7" x14ac:dyDescent="0.15">
      <c r="A151" t="str">
        <f>HYPERLINK("./new_k5/query_cmdrels_weight_analyze/0.3_0.4_0.3/au_53444.xlsx","au_53444")</f>
        <v>au_53444</v>
      </c>
      <c r="B151">
        <v>0.5</v>
      </c>
      <c r="C151">
        <v>0</v>
      </c>
      <c r="D151">
        <v>0.5</v>
      </c>
      <c r="E151">
        <v>0.16666666666666671</v>
      </c>
      <c r="F151">
        <v>0.5</v>
      </c>
      <c r="G151">
        <v>0.16666666666666671</v>
      </c>
    </row>
    <row r="152" spans="1:7" x14ac:dyDescent="0.15">
      <c r="A152" t="str">
        <f>HYPERLINK("./new_k5/query_cmdrels_weight_analyze/0.3_0.4_0.3/au_538208.xlsx","au_538208")</f>
        <v>au_538208</v>
      </c>
      <c r="B152">
        <v>0.125</v>
      </c>
      <c r="C152">
        <v>0.125</v>
      </c>
      <c r="D152">
        <v>0.375</v>
      </c>
      <c r="E152">
        <v>0.25</v>
      </c>
      <c r="F152">
        <v>0.5</v>
      </c>
      <c r="G152">
        <v>0.44374999999999998</v>
      </c>
    </row>
    <row r="153" spans="1:7" x14ac:dyDescent="0.15">
      <c r="A153" t="str">
        <f>HYPERLINK("./new_k5/query_cmdrels_weight_analyze/0.3_0.4_0.3/au_53822.xlsx","au_53822")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HYPERLINK("./new_k5/query_cmdrels_weight_analyze/0.3_0.4_0.3/au_539243.xlsx","au_539243")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</v>
      </c>
    </row>
    <row r="155" spans="1:7" x14ac:dyDescent="0.15">
      <c r="A155" t="str">
        <f>HYPERLINK("./new_k5/query_cmdrels_weight_analyze/0.3_0.4_0.3/au_558280.xlsx","au_558280")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HYPERLINK("./new_k5/query_cmdrels_weight_analyze/0.3_0.4_0.3/au_558669.xlsx","au_558669")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HYPERLINK("./new_k5/query_cmdrels_weight_analyze/0.3_0.4_0.3/au_55868.xlsx","au_55868")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HYPERLINK("./new_k5/query_cmdrels_weight_analyze/0.3_0.4_0.3/au_561.xlsx","au_561")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0.5</v>
      </c>
    </row>
    <row r="159" spans="1:7" x14ac:dyDescent="0.15">
      <c r="A159" t="str">
        <f>HYPERLINK("./new_k5/query_cmdrels_weight_analyze/0.3_0.4_0.3/au_564567.xlsx","au_564567")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HYPERLINK("./new_k5/query_cmdrels_weight_analyze/0.3_0.4_0.3/au_57994.xlsx","au_57994")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0.5714285714285714</v>
      </c>
    </row>
    <row r="161" spans="1:7" x14ac:dyDescent="0.15">
      <c r="A161" t="str">
        <f>HYPERLINK("./new_k5/query_cmdrels_weight_analyze/0.3_0.4_0.3/au_589210.xlsx","au_589210")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0.375</v>
      </c>
    </row>
    <row r="162" spans="1:7" x14ac:dyDescent="0.15">
      <c r="A162" t="str">
        <f>HYPERLINK("./new_k5/query_cmdrels_weight_analyze/0.3_0.4_0.3/au_5911.xlsx","au_5911")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HYPERLINK("./new_k5/query_cmdrels_weight_analyze/0.3_0.4_0.3/au_59356.xlsx","au_59356")</f>
        <v>au_59356</v>
      </c>
      <c r="B163">
        <v>0</v>
      </c>
      <c r="C163">
        <v>0</v>
      </c>
      <c r="D163">
        <v>0.16666666666666671</v>
      </c>
      <c r="E163">
        <v>0</v>
      </c>
      <c r="F163">
        <v>0.16666666666666671</v>
      </c>
      <c r="G163">
        <v>0</v>
      </c>
    </row>
    <row r="164" spans="1:7" x14ac:dyDescent="0.15">
      <c r="A164" t="str">
        <f>HYPERLINK("./new_k5/query_cmdrels_weight_analyze/0.3_0.4_0.3/au_609850.xlsx","au_609850")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HYPERLINK("./new_k5/query_cmdrels_weight_analyze/0.3_0.4_0.3/au_61408.xlsx","au_61408")</f>
        <v>au_61408</v>
      </c>
      <c r="B165">
        <v>0</v>
      </c>
      <c r="C165">
        <v>0.33333333333333331</v>
      </c>
      <c r="D165">
        <v>0.16666666666666671</v>
      </c>
      <c r="E165">
        <v>0.55555555555555547</v>
      </c>
      <c r="F165">
        <v>0.16666666666666671</v>
      </c>
      <c r="G165">
        <v>0.55555555555555547</v>
      </c>
    </row>
    <row r="166" spans="1:7" x14ac:dyDescent="0.15">
      <c r="A166" t="str">
        <f>HYPERLINK("./new_k5/query_cmdrels_weight_analyze/0.3_0.4_0.3/au_617850.xlsx","au_617850")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HYPERLINK("./new_k5/query_cmdrels_weight_analyze/0.3_0.4_0.3/au_62073.xlsx","au_62073")</f>
        <v>au_62073</v>
      </c>
      <c r="B167">
        <v>0</v>
      </c>
      <c r="C167">
        <v>0.2</v>
      </c>
      <c r="D167">
        <v>0.23333333333333331</v>
      </c>
      <c r="E167">
        <v>0.33333333333333331</v>
      </c>
      <c r="F167">
        <v>0.23333333333333331</v>
      </c>
      <c r="G167">
        <v>0.48333333333333328</v>
      </c>
    </row>
    <row r="168" spans="1:7" x14ac:dyDescent="0.15">
      <c r="A168" t="str">
        <f>HYPERLINK("./new_k5/query_cmdrels_weight_analyze/0.3_0.4_0.3/au_620930.xlsx","au_620930")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0.48333333333333328</v>
      </c>
    </row>
    <row r="169" spans="1:7" x14ac:dyDescent="0.15">
      <c r="A169" t="str">
        <f>HYPERLINK("./new_k5/query_cmdrels_weight_analyze/0.3_0.4_0.3/au_62492.xlsx","au_62492")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HYPERLINK("./new_k5/query_cmdrels_weight_analyze/0.3_0.4_0.3/au_626078.xlsx","au_626078")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HYPERLINK("./new_k5/query_cmdrels_weight_analyze/0.3_0.4_0.3/au_636944.xlsx","au_636944")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HYPERLINK("./new_k5/query_cmdrels_weight_analyze/0.3_0.4_0.3/au_648603.xlsx","au_648603")</f>
        <v>au_648603</v>
      </c>
      <c r="B172">
        <v>0.25</v>
      </c>
      <c r="C172">
        <v>0.25</v>
      </c>
      <c r="D172">
        <v>0.25</v>
      </c>
      <c r="E172">
        <v>0.25</v>
      </c>
      <c r="F172">
        <v>0.25</v>
      </c>
      <c r="G172">
        <v>0.35</v>
      </c>
    </row>
    <row r="173" spans="1:7" x14ac:dyDescent="0.15">
      <c r="A173" t="str">
        <f>HYPERLINK("./new_k5/query_cmdrels_weight_analyze/0.3_0.4_0.3/au_65331.xlsx","au_65331")</f>
        <v>au_65331</v>
      </c>
      <c r="B173">
        <v>0</v>
      </c>
      <c r="C173">
        <v>0.16666666666666671</v>
      </c>
      <c r="D173">
        <v>8.3333333333333329E-2</v>
      </c>
      <c r="E173">
        <v>0.27777777777777768</v>
      </c>
      <c r="F173">
        <v>0.16666666666666671</v>
      </c>
      <c r="G173">
        <v>0.37777777777777782</v>
      </c>
    </row>
    <row r="174" spans="1:7" x14ac:dyDescent="0.15">
      <c r="A174" t="str">
        <f>HYPERLINK("./new_k5/query_cmdrels_weight_analyze/0.3_0.4_0.3/au_66000.xlsx","au_66000")</f>
        <v>au_66000</v>
      </c>
      <c r="B174">
        <v>0</v>
      </c>
      <c r="C174">
        <v>0.2</v>
      </c>
      <c r="D174">
        <v>0</v>
      </c>
      <c r="E174">
        <v>0.33333333333333331</v>
      </c>
      <c r="F174">
        <v>0</v>
      </c>
      <c r="G174">
        <v>0.64333333333333331</v>
      </c>
    </row>
    <row r="175" spans="1:7" x14ac:dyDescent="0.15">
      <c r="A175" t="str">
        <f>HYPERLINK("./new_k5/query_cmdrels_weight_analyze/0.3_0.4_0.3/au_660846.xlsx","au_660846")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HYPERLINK("./new_k5/query_cmdrels_weight_analyze/0.3_0.4_0.3/au_662935.xlsx","au_662935")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0.34375</v>
      </c>
    </row>
    <row r="177" spans="1:7" x14ac:dyDescent="0.15">
      <c r="A177" t="str">
        <f>HYPERLINK("./new_k5/query_cmdrels_weight_analyze/0.3_0.4_0.3/au_67663.xlsx","au_67663")</f>
        <v>au_67663</v>
      </c>
      <c r="B177">
        <v>0</v>
      </c>
      <c r="C177">
        <v>0.25</v>
      </c>
      <c r="D177">
        <v>0.29166666666666657</v>
      </c>
      <c r="E177">
        <v>0.75</v>
      </c>
      <c r="F177">
        <v>0.29166666666666657</v>
      </c>
      <c r="G177">
        <v>0.75</v>
      </c>
    </row>
    <row r="178" spans="1:7" x14ac:dyDescent="0.15">
      <c r="A178" t="str">
        <f>HYPERLINK("./new_k5/query_cmdrels_weight_analyze/0.3_0.4_0.3/au_68028.xlsx","au_68028")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0.42857142857142849</v>
      </c>
      <c r="F178">
        <v>0.37142857142857139</v>
      </c>
      <c r="G178">
        <v>0.42857142857142849</v>
      </c>
    </row>
    <row r="179" spans="1:7" x14ac:dyDescent="0.15">
      <c r="A179" t="str">
        <f>HYPERLINK("./new_k5/query_cmdrels_weight_analyze/0.3_0.4_0.3/au_681312.xlsx","au_681312")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0.23809523809523811</v>
      </c>
      <c r="F179">
        <v>0.42857142857142849</v>
      </c>
      <c r="G179">
        <v>0.34523809523809518</v>
      </c>
    </row>
    <row r="180" spans="1:7" x14ac:dyDescent="0.15">
      <c r="A180" t="str">
        <f>HYPERLINK("./new_k5/query_cmdrels_weight_analyze/0.3_0.4_0.3/au_686239.xlsx","au_686239")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HYPERLINK("./new_k5/query_cmdrels_weight_analyze/0.3_0.4_0.3/au_68809.xlsx","au_68809")</f>
        <v>au_68809</v>
      </c>
      <c r="B181">
        <v>0.125</v>
      </c>
      <c r="C181">
        <v>0.125</v>
      </c>
      <c r="D181">
        <v>0.20833333333333329</v>
      </c>
      <c r="E181">
        <v>0.125</v>
      </c>
      <c r="F181">
        <v>0.28333333333333333</v>
      </c>
      <c r="G181">
        <v>0.1875</v>
      </c>
    </row>
    <row r="182" spans="1:7" x14ac:dyDescent="0.15">
      <c r="A182" t="str">
        <f>HYPERLINK("./new_k5/query_cmdrels_weight_analyze/0.3_0.4_0.3/au_69556.xlsx","au_69556")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HYPERLINK("./new_k5/query_cmdrels_weight_analyze/0.3_0.4_0.3/au_698993.xlsx","au_698993")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HYPERLINK("./new_k5/query_cmdrels_weight_analyze/0.3_0.4_0.3/au_707881.xlsx","au_707881")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HYPERLINK("./new_k5/query_cmdrels_weight_analyze/0.3_0.4_0.3/au_709594.xlsx","au_709594")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HYPERLINK("./new_k5/query_cmdrels_weight_analyze/0.3_0.4_0.3/au_71309.xlsx","au_71309")</f>
        <v>au_71309</v>
      </c>
      <c r="B186">
        <v>0.125</v>
      </c>
      <c r="C186">
        <v>0.125</v>
      </c>
      <c r="D186">
        <v>0.20833333333333329</v>
      </c>
      <c r="E186">
        <v>0.25</v>
      </c>
      <c r="F186">
        <v>0.20833333333333329</v>
      </c>
      <c r="G186">
        <v>0.34375</v>
      </c>
    </row>
    <row r="187" spans="1:7" x14ac:dyDescent="0.15">
      <c r="A187" t="str">
        <f>HYPERLINK("./new_k5/query_cmdrels_weight_analyze/0.3_0.4_0.3/au_7138.xlsx","au_7138")</f>
        <v>au_7138</v>
      </c>
      <c r="B187">
        <v>0.25</v>
      </c>
      <c r="C187">
        <v>0</v>
      </c>
      <c r="D187">
        <v>0.75</v>
      </c>
      <c r="E187">
        <v>8.3333333333333329E-2</v>
      </c>
      <c r="F187">
        <v>0.75</v>
      </c>
      <c r="G187">
        <v>8.3333333333333329E-2</v>
      </c>
    </row>
    <row r="188" spans="1:7" x14ac:dyDescent="0.15">
      <c r="A188" t="str">
        <f>HYPERLINK("./new_k5/query_cmdrels_weight_analyze/0.3_0.4_0.3/au_72549.xlsx","au_72549")</f>
        <v>au_72549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6.25E-2</v>
      </c>
    </row>
    <row r="189" spans="1:7" x14ac:dyDescent="0.15">
      <c r="A189" t="str">
        <f>HYPERLINK("./new_k5/query_cmdrels_weight_analyze/0.3_0.4_0.3/au_740805.xlsx","au_740805")</f>
        <v>au_740805</v>
      </c>
      <c r="B189">
        <v>0.25</v>
      </c>
      <c r="C189">
        <v>0</v>
      </c>
      <c r="D189">
        <v>0.41666666666666657</v>
      </c>
      <c r="E189">
        <v>8.3333333333333329E-2</v>
      </c>
      <c r="F189">
        <v>0.41666666666666657</v>
      </c>
      <c r="G189">
        <v>0.18333333333333329</v>
      </c>
    </row>
    <row r="190" spans="1:7" x14ac:dyDescent="0.15">
      <c r="A190" t="str">
        <f>HYPERLINK("./new_k5/query_cmdrels_weight_analyze/0.3_0.4_0.3/au_760796.xlsx","au_760796")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HYPERLINK("./new_k5/query_cmdrels_weight_analyze/0.3_0.4_0.3/au_762846.xlsx","au_762846")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0.43333333333333329</v>
      </c>
    </row>
    <row r="192" spans="1:7" x14ac:dyDescent="0.15">
      <c r="A192" t="str">
        <f>HYPERLINK("./new_k5/query_cmdrels_weight_analyze/0.3_0.4_0.3/au_767786.xlsx","au_767786")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0.8</v>
      </c>
    </row>
    <row r="193" spans="1:7" x14ac:dyDescent="0.15">
      <c r="A193" t="str">
        <f>HYPERLINK("./new_k5/query_cmdrels_weight_analyze/0.3_0.4_0.3/au_778906.xlsx","au_778906")</f>
        <v>au_778906</v>
      </c>
      <c r="B193">
        <v>0.2</v>
      </c>
      <c r="C193">
        <v>0.2</v>
      </c>
      <c r="D193">
        <v>0.33333333333333331</v>
      </c>
      <c r="E193">
        <v>0.6</v>
      </c>
      <c r="F193">
        <v>0.33333333333333331</v>
      </c>
      <c r="G193">
        <v>0.6</v>
      </c>
    </row>
    <row r="194" spans="1:7" x14ac:dyDescent="0.15">
      <c r="A194" t="str">
        <f>HYPERLINK("./new_k5/query_cmdrels_weight_analyze/0.3_0.4_0.3/au_818929.xlsx","au_818929")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0.42</v>
      </c>
    </row>
    <row r="195" spans="1:7" x14ac:dyDescent="0.15">
      <c r="A195" t="str">
        <f>HYPERLINK("./new_k5/query_cmdrels_weight_analyze/0.3_0.4_0.3/au_844876.xlsx","au_844876")</f>
        <v>au_844876</v>
      </c>
      <c r="B195">
        <v>0.5</v>
      </c>
      <c r="C195">
        <v>0.5</v>
      </c>
      <c r="D195">
        <v>0.5</v>
      </c>
      <c r="E195">
        <v>1</v>
      </c>
      <c r="F195">
        <v>0.5</v>
      </c>
      <c r="G195">
        <v>1</v>
      </c>
    </row>
    <row r="196" spans="1:7" x14ac:dyDescent="0.15">
      <c r="A196" t="str">
        <f>HYPERLINK("./new_k5/query_cmdrels_weight_analyze/0.3_0.4_0.3/au_85318.xlsx","au_85318")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0.4</v>
      </c>
    </row>
    <row r="197" spans="1:7" x14ac:dyDescent="0.15">
      <c r="A197" t="str">
        <f>HYPERLINK("./new_k5/query_cmdrels_weight_analyze/0.3_0.4_0.3/au_854332.xlsx","au_854332")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HYPERLINK("./new_k5/query_cmdrels_weight_analyze/0.3_0.4_0.3/au_854373.xlsx","au_854373")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HYPERLINK("./new_k5/query_cmdrels_weight_analyze/0.3_0.4_0.3/au_86843.xlsx","au_86843")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HYPERLINK("./new_k5/query_cmdrels_weight_analyze/0.3_0.4_0.3/au_88108.xlsx","au_88108")</f>
        <v>au_88108</v>
      </c>
      <c r="B200">
        <v>0</v>
      </c>
      <c r="C200">
        <v>0</v>
      </c>
      <c r="D200">
        <v>0.1</v>
      </c>
      <c r="E200">
        <v>0</v>
      </c>
      <c r="F200">
        <v>0.1</v>
      </c>
      <c r="G200">
        <v>0.04</v>
      </c>
    </row>
    <row r="201" spans="1:7" x14ac:dyDescent="0.15">
      <c r="A201" t="str">
        <f>HYPERLINK("./new_k5/query_cmdrels_weight_analyze/0.3_0.4_0.3/au_90214.xlsx","au_90214")</f>
        <v>au_90214</v>
      </c>
      <c r="B201">
        <v>0</v>
      </c>
      <c r="C201">
        <v>0</v>
      </c>
      <c r="D201">
        <v>0.16666666666666671</v>
      </c>
      <c r="E201">
        <v>0.1111111111111111</v>
      </c>
      <c r="F201">
        <v>0.16666666666666671</v>
      </c>
      <c r="G201">
        <v>0.24444444444444449</v>
      </c>
    </row>
    <row r="202" spans="1:7" x14ac:dyDescent="0.15">
      <c r="A202" t="str">
        <f>HYPERLINK("./new_k5/query_cmdrels_weight_analyze/0.3_0.4_0.3/au_90339.xlsx","au_90339")</f>
        <v>au_90339</v>
      </c>
      <c r="B202">
        <v>0</v>
      </c>
      <c r="C202">
        <v>0.14285714285714279</v>
      </c>
      <c r="D202">
        <v>4.7619047619047623E-2</v>
      </c>
      <c r="E202">
        <v>0.42857142857142849</v>
      </c>
      <c r="F202">
        <v>0.2047619047619047</v>
      </c>
      <c r="G202">
        <v>0.42857142857142849</v>
      </c>
    </row>
    <row r="203" spans="1:7" x14ac:dyDescent="0.15">
      <c r="A203" t="str">
        <f>HYPERLINK("./new_k5/query_cmdrels_weight_analyze/0.3_0.4_0.3/au_91286.xlsx","au_91286")</f>
        <v>au_91286</v>
      </c>
      <c r="B203">
        <v>0.5</v>
      </c>
      <c r="C203">
        <v>0</v>
      </c>
      <c r="D203">
        <v>0.5</v>
      </c>
      <c r="E203">
        <v>0.16666666666666671</v>
      </c>
      <c r="F203">
        <v>0.5</v>
      </c>
      <c r="G203">
        <v>0.16666666666666671</v>
      </c>
    </row>
    <row r="204" spans="1:7" x14ac:dyDescent="0.15">
      <c r="A204" t="str">
        <f>HYPERLINK("./new_k5/query_cmdrels_weight_analyze/0.3_0.4_0.3/au_9135.xlsx","au_9135")</f>
        <v>au_9135</v>
      </c>
      <c r="B204">
        <v>0.1</v>
      </c>
      <c r="C204">
        <v>0</v>
      </c>
      <c r="D204">
        <v>0.16666666666666671</v>
      </c>
      <c r="E204">
        <v>0.1166666666666667</v>
      </c>
      <c r="F204">
        <v>0.24166666666666661</v>
      </c>
      <c r="G204">
        <v>0.19166666666666671</v>
      </c>
    </row>
    <row r="205" spans="1:7" x14ac:dyDescent="0.15">
      <c r="A205" t="str">
        <f>HYPERLINK("./new_k5/query_cmdrels_weight_analyze/0.3_0.4_0.3/au_935569.xlsx","au_935569")</f>
        <v>au_935569</v>
      </c>
      <c r="B205">
        <v>0.14285714285714279</v>
      </c>
      <c r="C205">
        <v>0</v>
      </c>
      <c r="D205">
        <v>0.42857142857142849</v>
      </c>
      <c r="E205">
        <v>0.16666666666666671</v>
      </c>
      <c r="F205">
        <v>0.54285714285714282</v>
      </c>
      <c r="G205">
        <v>0.16666666666666671</v>
      </c>
    </row>
    <row r="206" spans="1:7" x14ac:dyDescent="0.15">
      <c r="A206" t="str">
        <f>HYPERLINK("./new_k5/query_cmdrels_weight_analyze/0.3_0.4_0.3/au_97936.xlsx","au_97936")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HYPERLINK("./new_k5/query_cmdrels_weight_analyze/0.3_0.4_0.3/so_10235778.xlsx","so_10235778")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HYPERLINK("./new_k5/query_cmdrels_weight_analyze/0.3_0.4_0.3/so_1045910.xlsx","so_1045910")</f>
        <v>so_1045910</v>
      </c>
      <c r="B208">
        <v>0.25</v>
      </c>
      <c r="C208">
        <v>0</v>
      </c>
      <c r="D208">
        <v>0.25</v>
      </c>
      <c r="E208">
        <v>0.29166666666666657</v>
      </c>
      <c r="F208">
        <v>0.25</v>
      </c>
      <c r="G208">
        <v>0.29166666666666657</v>
      </c>
    </row>
    <row r="209" spans="1:7" x14ac:dyDescent="0.15">
      <c r="A209" t="str">
        <f>HYPERLINK("./new_k5/query_cmdrels_weight_analyze/0.3_0.4_0.3/so_10557360.xlsx","so_10557360")</f>
        <v>so_10557360</v>
      </c>
      <c r="B209">
        <v>0</v>
      </c>
      <c r="C209">
        <v>0</v>
      </c>
      <c r="D209">
        <v>0</v>
      </c>
      <c r="E209">
        <v>6.6666666666666666E-2</v>
      </c>
      <c r="F209">
        <v>0</v>
      </c>
      <c r="G209">
        <v>6.6666666666666666E-2</v>
      </c>
    </row>
    <row r="210" spans="1:7" x14ac:dyDescent="0.15">
      <c r="A210" t="str">
        <f>HYPERLINK("./new_k5/query_cmdrels_weight_analyze/0.3_0.4_0.3/so_1058047.xlsx","so_1058047")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0.375</v>
      </c>
    </row>
    <row r="211" spans="1:7" x14ac:dyDescent="0.15">
      <c r="A211" t="str">
        <f>HYPERLINK("./new_k5/query_cmdrels_weight_analyze/0.3_0.4_0.3/so_10829402.xlsx","so_10829402")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HYPERLINK("./new_k5/query_cmdrels_weight_analyze/0.3_0.4_0.3/so_1088098.xlsx","so_1088098")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0.25</v>
      </c>
    </row>
    <row r="213" spans="1:7" x14ac:dyDescent="0.15">
      <c r="A213" t="str">
        <f>HYPERLINK("./new_k5/query_cmdrels_weight_analyze/0.3_0.4_0.3/so_10990949.xlsx","so_10990949")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0.5</v>
      </c>
    </row>
    <row r="214" spans="1:7" x14ac:dyDescent="0.15">
      <c r="A214" t="str">
        <f>HYPERLINK("./new_k5/query_cmdrels_weight_analyze/0.3_0.4_0.3/so_11211705.xlsx","so_11211705")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HYPERLINK("./new_k5/query_cmdrels_weight_analyze/0.3_0.4_0.3/so_112932.xlsx","so_112932")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HYPERLINK("./new_k5/query_cmdrels_weight_analyze/0.3_0.4_0.3/so_11392189.xlsx","so_11392189")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8.3333333333333329E-2</v>
      </c>
    </row>
    <row r="217" spans="1:7" x14ac:dyDescent="0.15">
      <c r="A217" t="str">
        <f>HYPERLINK("./new_k5/query_cmdrels_weight_analyze/0.3_0.4_0.3/so_1183183.xlsx","so_1183183")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HYPERLINK("./new_k5/query_cmdrels_weight_analyze/0.3_0.4_0.3/so_1194882.xlsx","so_1194882")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HYPERLINK("./new_k5/query_cmdrels_weight_analyze/0.3_0.4_0.3/so_12120935.xlsx","so_12120935")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HYPERLINK("./new_k5/query_cmdrels_weight_analyze/0.3_0.4_0.3/so_12313384.xlsx","so_12313384")</f>
        <v>so_12313384</v>
      </c>
      <c r="B220">
        <v>0</v>
      </c>
      <c r="C220">
        <v>0.33333333333333331</v>
      </c>
      <c r="D220">
        <v>0.16666666666666671</v>
      </c>
      <c r="E220">
        <v>0.66666666666666663</v>
      </c>
      <c r="F220">
        <v>0.16666666666666671</v>
      </c>
      <c r="G220">
        <v>0.66666666666666663</v>
      </c>
    </row>
    <row r="221" spans="1:7" x14ac:dyDescent="0.15">
      <c r="A221" t="str">
        <f>HYPERLINK("./new_k5/query_cmdrels_weight_analyze/0.3_0.4_0.3/so_12392598.xlsx","so_12392598")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0.42857142857142849</v>
      </c>
      <c r="F221">
        <v>0.2857142857142857</v>
      </c>
      <c r="G221">
        <v>0.54285714285714282</v>
      </c>
    </row>
    <row r="222" spans="1:7" x14ac:dyDescent="0.15">
      <c r="A222" t="str">
        <f>HYPERLINK("./new_k5/query_cmdrels_weight_analyze/0.3_0.4_0.3/so_1241801.xlsx","so_1241801")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HYPERLINK("./new_k5/query_cmdrels_weight_analyze/0.3_0.4_0.3/so_12522269.xlsx","so_12522269")</f>
        <v>so_12522269</v>
      </c>
      <c r="B223">
        <v>0.2</v>
      </c>
      <c r="C223">
        <v>0.2</v>
      </c>
      <c r="D223">
        <v>0.2</v>
      </c>
      <c r="E223">
        <v>0.2</v>
      </c>
      <c r="F223">
        <v>0.28000000000000003</v>
      </c>
      <c r="G223">
        <v>0.2</v>
      </c>
    </row>
    <row r="224" spans="1:7" x14ac:dyDescent="0.15">
      <c r="A224" t="str">
        <f>HYPERLINK("./new_k5/query_cmdrels_weight_analyze/0.3_0.4_0.3/so_1293907.xlsx","so_1293907")</f>
        <v>so_1293907</v>
      </c>
      <c r="B224">
        <v>0</v>
      </c>
      <c r="C224">
        <v>0.33333333333333331</v>
      </c>
      <c r="D224">
        <v>0</v>
      </c>
      <c r="E224">
        <v>0.66666666666666663</v>
      </c>
      <c r="F224">
        <v>8.3333333333333329E-2</v>
      </c>
      <c r="G224">
        <v>0.8666666666666667</v>
      </c>
    </row>
    <row r="225" spans="1:7" x14ac:dyDescent="0.15">
      <c r="A225" t="str">
        <f>HYPERLINK("./new_k5/query_cmdrels_weight_analyze/0.3_0.4_0.3/so_13428910.xlsx","so_13428910")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HYPERLINK("./new_k5/query_cmdrels_weight_analyze/0.3_0.4_0.3/so_135688.xlsx","so_135688")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HYPERLINK("./new_k5/query_cmdrels_weight_analyze/0.3_0.4_0.3/so_13778273.xlsx","so_13778273")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HYPERLINK("./new_k5/query_cmdrels_weight_analyze/0.3_0.4_0.3/so_1405611.xlsx","so_1405611")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0.1111111111111111</v>
      </c>
      <c r="F228">
        <v>0.33333333333333331</v>
      </c>
      <c r="G228">
        <v>0.1111111111111111</v>
      </c>
    </row>
    <row r="229" spans="1:7" x14ac:dyDescent="0.15">
      <c r="A229" t="str">
        <f>HYPERLINK("./new_k5/query_cmdrels_weight_analyze/0.3_0.4_0.3/so_14300794.xlsx","so_14300794")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HYPERLINK("./new_k5/query_cmdrels_weight_analyze/0.3_0.4_0.3/so_143791.xlsx","so_143791")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HYPERLINK("./new_k5/query_cmdrels_weight_analyze/0.3_0.4_0.3/so_14750650.xlsx","so_14750650")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6.25E-2</v>
      </c>
    </row>
    <row r="232" spans="1:7" x14ac:dyDescent="0.15">
      <c r="A232" t="str">
        <f>HYPERLINK("./new_k5/query_cmdrels_weight_analyze/0.3_0.4_0.3/so_14978411.xlsx","so_14978411")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HYPERLINK("./new_k5/query_cmdrels_weight_analyze/0.3_0.4_0.3/so_15236308.xlsx","so_15236308")</f>
        <v>so_15236308</v>
      </c>
      <c r="B233">
        <v>0.25</v>
      </c>
      <c r="C233">
        <v>0.25</v>
      </c>
      <c r="D233">
        <v>0.25</v>
      </c>
      <c r="E233">
        <v>0.5</v>
      </c>
      <c r="F233">
        <v>0.25</v>
      </c>
      <c r="G233">
        <v>0.6875</v>
      </c>
    </row>
    <row r="234" spans="1:7" x14ac:dyDescent="0.15">
      <c r="A234" t="str">
        <f>HYPERLINK("./new_k5/query_cmdrels_weight_analyze/0.3_0.4_0.3/so_15286947.xlsx","so_15286947")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HYPERLINK("./new_k5/query_cmdrels_weight_analyze/0.3_0.4_0.3/so_15402770.xlsx","so_15402770")</f>
        <v>so_15402770</v>
      </c>
      <c r="B235">
        <v>0</v>
      </c>
      <c r="C235">
        <v>0.16666666666666671</v>
      </c>
      <c r="D235">
        <v>0.19444444444444439</v>
      </c>
      <c r="E235">
        <v>0.27777777777777768</v>
      </c>
      <c r="F235">
        <v>0.19444444444444439</v>
      </c>
      <c r="G235">
        <v>0.40277777777777768</v>
      </c>
    </row>
    <row r="236" spans="1:7" x14ac:dyDescent="0.15">
      <c r="A236" t="str">
        <f>HYPERLINK("./new_k5/query_cmdrels_weight_analyze/0.3_0.4_0.3/so_1570262.xlsx","so_1570262")</f>
        <v>so_1570262</v>
      </c>
      <c r="B236">
        <v>0</v>
      </c>
      <c r="C236">
        <v>0</v>
      </c>
      <c r="D236">
        <v>0</v>
      </c>
      <c r="E236">
        <v>6.6666666666666666E-2</v>
      </c>
      <c r="F236">
        <v>0</v>
      </c>
      <c r="G236">
        <v>0.1466666666666667</v>
      </c>
    </row>
    <row r="237" spans="1:7" x14ac:dyDescent="0.15">
      <c r="A237" t="str">
        <f>HYPERLINK("./new_k5/query_cmdrels_weight_analyze/0.3_0.4_0.3/so_1583219.xlsx","so_1583219")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HYPERLINK("./new_k5/query_cmdrels_weight_analyze/0.3_0.4_0.3/so_15872543.xlsx","so_15872543")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HYPERLINK("./new_k5/query_cmdrels_weight_analyze/0.3_0.4_0.3/so_16038087.xlsx","so_16038087")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0.5714285714285714</v>
      </c>
    </row>
    <row r="240" spans="1:7" x14ac:dyDescent="0.15">
      <c r="A240" t="str">
        <f>HYPERLINK("./new_k5/query_cmdrels_weight_analyze/0.3_0.4_0.3/so_16212656.xlsx","so_16212656")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HYPERLINK("./new_k5/query_cmdrels_weight_analyze/0.3_0.4_0.3/so_16575419.xlsx","so_16575419")</f>
        <v>so_16575419</v>
      </c>
      <c r="B241">
        <v>0.25</v>
      </c>
      <c r="C241">
        <v>0.25</v>
      </c>
      <c r="D241">
        <v>0.25</v>
      </c>
      <c r="E241">
        <v>0.75</v>
      </c>
      <c r="F241">
        <v>0.25</v>
      </c>
      <c r="G241">
        <v>0.75</v>
      </c>
    </row>
    <row r="242" spans="1:7" x14ac:dyDescent="0.15">
      <c r="A242" t="str">
        <f>HYPERLINK("./new_k5/query_cmdrels_weight_analyze/0.3_0.4_0.3/so_17582768.xlsx","so_17582768")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8.3333333333333329E-2</v>
      </c>
    </row>
    <row r="243" spans="1:7" x14ac:dyDescent="0.15">
      <c r="A243" t="str">
        <f>HYPERLINK("./new_k5/query_cmdrels_weight_analyze/0.3_0.4_0.3/so_17607612.xlsx","so_17607612")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HYPERLINK("./new_k5/query_cmdrels_weight_analyze/0.3_0.4_0.3/so_17829785.xlsx","so_17829785")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HYPERLINK("./new_k5/query_cmdrels_weight_analyze/0.3_0.4_0.3/so_1839841.xlsx","so_1839841")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HYPERLINK("./new_k5/query_cmdrels_weight_analyze/0.3_0.4_0.3/so_18468716.xlsx","so_18468716")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0.46666666666666662</v>
      </c>
    </row>
    <row r="247" spans="1:7" x14ac:dyDescent="0.15">
      <c r="A247" t="str">
        <f>HYPERLINK("./new_k5/query_cmdrels_weight_analyze/0.3_0.4_0.3/so_19196105.xlsx","so_19196105")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0.19166666666666671</v>
      </c>
    </row>
    <row r="248" spans="1:7" x14ac:dyDescent="0.15">
      <c r="A248" t="str">
        <f>HYPERLINK("./new_k5/query_cmdrels_weight_analyze/0.3_0.4_0.3/so_19482123.xlsx","so_19482123")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HYPERLINK("./new_k5/query_cmdrels_weight_analyze/0.3_0.4_0.3/so_1975849.xlsx","so_1975849")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HYPERLINK("./new_k5/query_cmdrels_weight_analyze/0.3_0.4_0.3/so_212528.xlsx","so_212528")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0.45833333333333331</v>
      </c>
    </row>
    <row r="251" spans="1:7" x14ac:dyDescent="0.15">
      <c r="A251" t="str">
        <f>HYPERLINK("./new_k5/query_cmdrels_weight_analyze/0.3_0.4_0.3/so_21620406.xlsx","so_21620406")</f>
        <v>so_21620406</v>
      </c>
      <c r="B251">
        <v>0</v>
      </c>
      <c r="C251">
        <v>0</v>
      </c>
      <c r="D251">
        <v>0.1111111111111111</v>
      </c>
      <c r="E251">
        <v>0.1111111111111111</v>
      </c>
      <c r="F251">
        <v>0.1111111111111111</v>
      </c>
      <c r="G251">
        <v>0.1111111111111111</v>
      </c>
    </row>
    <row r="252" spans="1:7" x14ac:dyDescent="0.15">
      <c r="A252" t="str">
        <f>HYPERLINK("./new_k5/query_cmdrels_weight_analyze/0.3_0.4_0.3/so_23509348.xlsx","so_23509348")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HYPERLINK("./new_k5/query_cmdrels_weight_analyze/0.3_0.4_0.3/so_24058544.xlsx","so_24058544")</f>
        <v>so_24058544</v>
      </c>
      <c r="B253">
        <v>0.2</v>
      </c>
      <c r="C253">
        <v>0.2</v>
      </c>
      <c r="D253">
        <v>0.2</v>
      </c>
      <c r="E253">
        <v>0.33333333333333331</v>
      </c>
      <c r="F253">
        <v>0.2</v>
      </c>
      <c r="G253">
        <v>0.33333333333333331</v>
      </c>
    </row>
    <row r="254" spans="1:7" x14ac:dyDescent="0.15">
      <c r="A254" t="str">
        <f>HYPERLINK("./new_k5/query_cmdrels_weight_analyze/0.3_0.4_0.3/so_24283097.xlsx","so_24283097")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HYPERLINK("./new_k5/query_cmdrels_weight_analyze/0.3_0.4_0.3/so_26256279.xlsx","so_26256279")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HYPERLINK("./new_k5/query_cmdrels_weight_analyze/0.3_0.4_0.3/so_26331651.xlsx","so_26331651")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HYPERLINK("./new_k5/query_cmdrels_weight_analyze/0.3_0.4_0.3/so_26988262.xlsx","so_26988262")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HYPERLINK("./new_k5/query_cmdrels_weight_analyze/0.3_0.4_0.3/so_27238411.xlsx","so_27238411")</f>
        <v>so_27238411</v>
      </c>
      <c r="B258">
        <v>0.2</v>
      </c>
      <c r="C258">
        <v>0.2</v>
      </c>
      <c r="D258">
        <v>0.6</v>
      </c>
      <c r="E258">
        <v>0.6</v>
      </c>
      <c r="F258">
        <v>0.6</v>
      </c>
      <c r="G258">
        <v>0.6</v>
      </c>
    </row>
    <row r="259" spans="1:7" x14ac:dyDescent="0.15">
      <c r="A259" t="str">
        <f>HYPERLINK("./new_k5/query_cmdrels_weight_analyze/0.3_0.4_0.3/so_27943059.xlsx","so_27943059")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0.33333333333333331</v>
      </c>
      <c r="F259">
        <v>0.16666666666666671</v>
      </c>
      <c r="G259">
        <v>0.5</v>
      </c>
    </row>
    <row r="260" spans="1:7" x14ac:dyDescent="0.15">
      <c r="A260" t="str">
        <f>HYPERLINK("./new_k5/query_cmdrels_weight_analyze/0.3_0.4_0.3/so_28869004.xlsx","so_28869004")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0.5</v>
      </c>
    </row>
    <row r="261" spans="1:7" x14ac:dyDescent="0.15">
      <c r="A261" t="str">
        <f>HYPERLINK("./new_k5/query_cmdrels_weight_analyze/0.3_0.4_0.3/so_2973624.xlsx","so_2973624")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1</v>
      </c>
      <c r="F261">
        <v>0.66666666666666663</v>
      </c>
      <c r="G261">
        <v>1</v>
      </c>
    </row>
    <row r="262" spans="1:7" x14ac:dyDescent="0.15">
      <c r="A262" t="str">
        <f>HYPERLINK("./new_k5/query_cmdrels_weight_analyze/0.3_0.4_0.3/so_30177455.xlsx","so_30177455")</f>
        <v>so_30177455</v>
      </c>
      <c r="B262">
        <v>0</v>
      </c>
      <c r="C262">
        <v>0</v>
      </c>
      <c r="D262">
        <v>0.16666666666666671</v>
      </c>
      <c r="E262">
        <v>0.1111111111111111</v>
      </c>
      <c r="F262">
        <v>0.16666666666666671</v>
      </c>
      <c r="G262">
        <v>0.1111111111111111</v>
      </c>
    </row>
    <row r="263" spans="1:7" x14ac:dyDescent="0.15">
      <c r="A263" t="str">
        <f>HYPERLINK("./new_k5/query_cmdrels_weight_analyze/0.3_0.4_0.3/so_30251889.xlsx","so_30251889")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0.6791666666666667</v>
      </c>
    </row>
    <row r="264" spans="1:7" x14ac:dyDescent="0.15">
      <c r="A264" t="str">
        <f>HYPERLINK("./new_k5/query_cmdrels_weight_analyze/0.3_0.4_0.3/so_305035.xlsx","so_305035")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HYPERLINK("./new_k5/query_cmdrels_weight_analyze/0.3_0.4_0.3/so_36249744.xlsx","so_36249744")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HYPERLINK("./new_k5/query_cmdrels_weight_analyze/0.3_0.4_0.3/so_3643848.xlsx","so_3643848")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HYPERLINK("./new_k5/query_cmdrels_weight_analyze/0.3_0.4_0.3/so_3667329.xlsx","so_3667329")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HYPERLINK("./new_k5/query_cmdrels_weight_analyze/0.3_0.4_0.3/so_369758.xlsx","so_369758")</f>
        <v>so_369758</v>
      </c>
      <c r="B268">
        <v>0.2</v>
      </c>
      <c r="C268">
        <v>0.2</v>
      </c>
      <c r="D268">
        <v>0.4</v>
      </c>
      <c r="E268">
        <v>0.33333333333333331</v>
      </c>
      <c r="F268">
        <v>0.4</v>
      </c>
      <c r="G268">
        <v>0.48333333333333328</v>
      </c>
    </row>
    <row r="269" spans="1:7" x14ac:dyDescent="0.15">
      <c r="A269" t="str">
        <f>HYPERLINK("./new_k5/query_cmdrels_weight_analyze/0.3_0.4_0.3/so_3756323.xlsx","so_3756323")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</v>
      </c>
    </row>
    <row r="270" spans="1:7" x14ac:dyDescent="0.15">
      <c r="A270" t="str">
        <f>HYPERLINK("./new_k5/query_cmdrels_weight_analyze/0.3_0.4_0.3/so_3767267.xlsx","so_3767267")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HYPERLINK("./new_k5/query_cmdrels_weight_analyze/0.3_0.4_0.3/so_3833578.xlsx","so_3833578")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HYPERLINK("./new_k5/query_cmdrels_weight_analyze/0.3_0.4_0.3/so_3891076.xlsx","so_3891076")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0.52500000000000002</v>
      </c>
    </row>
    <row r="273" spans="1:7" x14ac:dyDescent="0.15">
      <c r="A273" t="str">
        <f>HYPERLINK("./new_k5/query_cmdrels_weight_analyze/0.3_0.4_0.3/so_3963085.xlsx","so_3963085")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HYPERLINK("./new_k5/query_cmdrels_weight_analyze/0.3_0.4_0.3/so_4325216.xlsx","so_4325216")</f>
        <v>so_4325216</v>
      </c>
      <c r="B274">
        <v>0.5</v>
      </c>
      <c r="C274">
        <v>0.5</v>
      </c>
      <c r="D274">
        <v>0.5</v>
      </c>
      <c r="E274">
        <v>1</v>
      </c>
      <c r="F274">
        <v>0.5</v>
      </c>
      <c r="G274">
        <v>1</v>
      </c>
    </row>
    <row r="275" spans="1:7" x14ac:dyDescent="0.15">
      <c r="A275" t="str">
        <f>HYPERLINK("./new_k5/query_cmdrels_weight_analyze/0.3_0.4_0.3/so_448005.xlsx","so_448005")</f>
        <v>so_448005</v>
      </c>
      <c r="B275">
        <v>1</v>
      </c>
      <c r="C275">
        <v>0</v>
      </c>
      <c r="D275">
        <v>1</v>
      </c>
      <c r="E275">
        <v>0.5</v>
      </c>
      <c r="F275">
        <v>1</v>
      </c>
      <c r="G275">
        <v>0.5</v>
      </c>
    </row>
    <row r="276" spans="1:7" x14ac:dyDescent="0.15">
      <c r="A276" t="str">
        <f>HYPERLINK("./new_k5/query_cmdrels_weight_analyze/0.3_0.4_0.3/so_4921879.xlsx","so_4921879")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HYPERLINK("./new_k5/query_cmdrels_weight_analyze/0.3_0.4_0.3/so_4922943.xlsx","so_4922943")</f>
        <v>so_4922943</v>
      </c>
      <c r="B277">
        <v>0.2</v>
      </c>
      <c r="C277">
        <v>0.2</v>
      </c>
      <c r="D277">
        <v>0.33333333333333331</v>
      </c>
      <c r="E277">
        <v>0.33333333333333331</v>
      </c>
      <c r="F277">
        <v>0.33333333333333331</v>
      </c>
      <c r="G277">
        <v>0.33333333333333331</v>
      </c>
    </row>
    <row r="278" spans="1:7" x14ac:dyDescent="0.15">
      <c r="A278" t="str">
        <f>HYPERLINK("./new_k5/query_cmdrels_weight_analyze/0.3_0.4_0.3/so_5119946.xlsx","so_5119946")</f>
        <v>so_5119946</v>
      </c>
      <c r="B278">
        <v>0.5</v>
      </c>
      <c r="C278">
        <v>0</v>
      </c>
      <c r="D278">
        <v>0.5</v>
      </c>
      <c r="E278">
        <v>0.58333333333333326</v>
      </c>
      <c r="F278">
        <v>0.5</v>
      </c>
      <c r="G278">
        <v>0.58333333333333326</v>
      </c>
    </row>
    <row r="279" spans="1:7" x14ac:dyDescent="0.15">
      <c r="A279" t="str">
        <f>HYPERLINK("./new_k5/query_cmdrels_weight_analyze/0.3_0.4_0.3/so_5164985.xlsx","so_5164985")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HYPERLINK("./new_k5/query_cmdrels_weight_analyze/0.3_0.4_0.3/so_5306153.xlsx","so_5306153")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HYPERLINK("./new_k5/query_cmdrels_weight_analyze/0.3_0.4_0.3/so_5566310.xlsx","so_5566310")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HYPERLINK("./new_k5/query_cmdrels_weight_analyze/0.3_0.4_0.3/so_5927369.xlsx","so_5927369")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HYPERLINK("./new_k5/query_cmdrels_weight_analyze/0.3_0.4_0.3/so_5947742.xlsx","so_5947742")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HYPERLINK("./new_k5/query_cmdrels_weight_analyze/0.3_0.4_0.3/so_614795.xlsx","so_614795")</f>
        <v>so_614795</v>
      </c>
      <c r="B284">
        <v>0</v>
      </c>
      <c r="C284">
        <v>0</v>
      </c>
      <c r="D284">
        <v>0</v>
      </c>
      <c r="E284">
        <v>0.16666666666666671</v>
      </c>
      <c r="F284">
        <v>0</v>
      </c>
      <c r="G284">
        <v>0.16666666666666671</v>
      </c>
    </row>
    <row r="285" spans="1:7" x14ac:dyDescent="0.15">
      <c r="A285" t="str">
        <f>HYPERLINK("./new_k5/query_cmdrels_weight_analyze/0.3_0.4_0.3/so_6207573.xlsx","so_6207573")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0.2857142857142857</v>
      </c>
      <c r="F285">
        <v>0.37142857142857139</v>
      </c>
      <c r="G285">
        <v>0.39285714285714279</v>
      </c>
    </row>
    <row r="286" spans="1:7" x14ac:dyDescent="0.15">
      <c r="A286" t="str">
        <f>HYPERLINK("./new_k5/query_cmdrels_weight_analyze/0.3_0.4_0.3/so_6283167.xlsx","so_6283167")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HYPERLINK("./new_k5/query_cmdrels_weight_analyze/0.3_0.4_0.3/so_6329505.xlsx","so_6329505")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HYPERLINK("./new_k5/query_cmdrels_weight_analyze/0.3_0.4_0.3/so_6423532.xlsx","so_6423532")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HYPERLINK("./new_k5/query_cmdrels_weight_analyze/0.3_0.4_0.3/so_669438.xlsx","so_669438")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0.33333333333333331</v>
      </c>
    </row>
    <row r="290" spans="1:7" x14ac:dyDescent="0.15">
      <c r="A290" t="str">
        <f>HYPERLINK("./new_k5/query_cmdrels_weight_analyze/0.3_0.4_0.3/so_7052875.xlsx","so_7052875")</f>
        <v>so_7052875</v>
      </c>
      <c r="B290">
        <v>0.2</v>
      </c>
      <c r="C290">
        <v>0</v>
      </c>
      <c r="D290">
        <v>0.2</v>
      </c>
      <c r="E290">
        <v>0.1</v>
      </c>
      <c r="F290">
        <v>0.2</v>
      </c>
      <c r="G290">
        <v>0.18</v>
      </c>
    </row>
    <row r="291" spans="1:7" x14ac:dyDescent="0.15">
      <c r="A291" t="str">
        <f>HYPERLINK("./new_k5/query_cmdrels_weight_analyze/0.3_0.4_0.3/so_7221757.xlsx","so_7221757")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HYPERLINK("./new_k5/query_cmdrels_weight_analyze/0.3_0.4_0.3/so_750604.xlsx","so_750604")</f>
        <v>so_750604</v>
      </c>
      <c r="B292">
        <v>0</v>
      </c>
      <c r="C292">
        <v>0</v>
      </c>
      <c r="D292">
        <v>0.1111111111111111</v>
      </c>
      <c r="E292">
        <v>0.16666666666666671</v>
      </c>
      <c r="F292">
        <v>0.1111111111111111</v>
      </c>
      <c r="G292">
        <v>0.33333333333333331</v>
      </c>
    </row>
    <row r="293" spans="1:7" x14ac:dyDescent="0.15">
      <c r="A293" t="str">
        <f>HYPERLINK("./new_k5/query_cmdrels_weight_analyze/0.3_0.4_0.3/so_7575267.xlsx","so_7575267")</f>
        <v>so_7575267</v>
      </c>
      <c r="B293">
        <v>0</v>
      </c>
      <c r="C293">
        <v>0.25</v>
      </c>
      <c r="D293">
        <v>0</v>
      </c>
      <c r="E293">
        <v>0.75</v>
      </c>
      <c r="F293">
        <v>0</v>
      </c>
      <c r="G293">
        <v>0.75</v>
      </c>
    </row>
    <row r="294" spans="1:7" x14ac:dyDescent="0.15">
      <c r="A294" t="str">
        <f>HYPERLINK("./new_k5/query_cmdrels_weight_analyze/0.3_0.4_0.3/so_7698488.xlsx","so_7698488")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0.16250000000000001</v>
      </c>
    </row>
    <row r="295" spans="1:7" x14ac:dyDescent="0.15">
      <c r="A295" t="str">
        <f>HYPERLINK("./new_k5/query_cmdrels_weight_analyze/0.3_0.4_0.3/so_801095.xlsx","so_801095")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0.33333333333333331</v>
      </c>
      <c r="F295">
        <v>0.33333333333333331</v>
      </c>
      <c r="G295">
        <v>0.5</v>
      </c>
    </row>
    <row r="296" spans="1:7" x14ac:dyDescent="0.15">
      <c r="A296" t="str">
        <f>HYPERLINK("./new_k5/query_cmdrels_weight_analyze/0.3_0.4_0.3/so_8249705.xlsx","so_8249705")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HYPERLINK("./new_k5/query_cmdrels_weight_analyze/0.3_0.4_0.3/so_8423541.xlsx","so_8423541")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HYPERLINK("./new_k5/query_cmdrels_weight_analyze/0.3_0.4_0.3/so_8654051.xlsx","so_8654051")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HYPERLINK("./new_k5/query_cmdrels_weight_analyze/0.3_0.4_0.3/so_890262.xlsx","so_890262")</f>
        <v>so_890262</v>
      </c>
      <c r="B299">
        <v>0</v>
      </c>
      <c r="C299">
        <v>0</v>
      </c>
      <c r="D299">
        <v>0</v>
      </c>
      <c r="E299">
        <v>0.38888888888888878</v>
      </c>
      <c r="F299">
        <v>0</v>
      </c>
      <c r="G299">
        <v>0.38888888888888878</v>
      </c>
    </row>
    <row r="300" spans="1:7" x14ac:dyDescent="0.15">
      <c r="A300" t="str">
        <f>HYPERLINK("./new_k5/query_cmdrels_weight_analyze/0.3_0.4_0.3/so_893585.xlsx","so_893585")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HYPERLINK("./new_k5/query_cmdrels_weight_analyze/0.3_0.4_0.3/so_9223460.xlsx","so_9223460")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HYPERLINK("./new_k5/query_cmdrels_weight_analyze/0.3_0.4_0.3/so_9245638.xlsx","so_9245638")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HYPERLINK("./new_k5/query_cmdrels_weight_analyze/0.3_0.4_0.3/so_9304953.xlsx","so_9304953")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HYPERLINK("./new_k5/query_cmdrels_weight_analyze/0.3_0.4_0.3/so_9361816.xlsx","so_9361816")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HYPERLINK("./new_k5/query_cmdrels_weight_analyze/0.3_0.4_0.3/su_116617.xlsx","su_116617")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HYPERLINK("./new_k5/query_cmdrels_weight_analyze/0.3_0.4_0.3/su_120045.xlsx","su_120045")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HYPERLINK("./new_k5/query_cmdrels_weight_analyze/0.3_0.4_0.3/su_127863.xlsx","su_127863")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HYPERLINK("./new_k5/query_cmdrels_weight_analyze/0.3_0.4_0.3/su_135498.xlsx","su_135498")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HYPERLINK("./new_k5/query_cmdrels_weight_analyze/0.3_0.4_0.3/su_147027.xlsx","su_147027")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HYPERLINK("./new_k5/query_cmdrels_weight_analyze/0.3_0.4_0.3/su_151911.xlsx","su_151911")</f>
        <v>su_151911</v>
      </c>
      <c r="B310">
        <v>0</v>
      </c>
      <c r="C310">
        <v>0</v>
      </c>
      <c r="D310">
        <v>0</v>
      </c>
      <c r="E310">
        <v>8.3333333333333329E-2</v>
      </c>
      <c r="F310">
        <v>0</v>
      </c>
      <c r="G310">
        <v>8.3333333333333329E-2</v>
      </c>
    </row>
    <row r="311" spans="1:7" x14ac:dyDescent="0.15">
      <c r="A311" t="str">
        <f>HYPERLINK("./new_k5/query_cmdrels_weight_analyze/0.3_0.4_0.3/su_153415.xlsx","su_153415")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HYPERLINK("./new_k5/query_cmdrels_weight_analyze/0.3_0.4_0.3/su_156189.xlsx","su_156189")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0.27777777777777768</v>
      </c>
    </row>
    <row r="313" spans="1:7" x14ac:dyDescent="0.15">
      <c r="A313" t="str">
        <f>HYPERLINK("./new_k5/query_cmdrels_weight_analyze/0.3_0.4_0.3/su_161531.xlsx","su_161531")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HYPERLINK("./new_k5/query_cmdrels_weight_analyze/0.3_0.4_0.3/su_204209.xlsx","su_204209")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HYPERLINK("./new_k5/query_cmdrels_weight_analyze/0.3_0.4_0.3/su_214390.xlsx","su_214390")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HYPERLINK("./new_k5/query_cmdrels_weight_analyze/0.3_0.4_0.3/su_215483.xlsx","su_215483")</f>
        <v>su_215483</v>
      </c>
      <c r="B316">
        <v>0.5</v>
      </c>
      <c r="C316">
        <v>0.5</v>
      </c>
      <c r="D316">
        <v>1</v>
      </c>
      <c r="E316">
        <v>0.83333333333333326</v>
      </c>
      <c r="F316">
        <v>1</v>
      </c>
      <c r="G316">
        <v>0.83333333333333326</v>
      </c>
    </row>
    <row r="317" spans="1:7" x14ac:dyDescent="0.15">
      <c r="A317" t="str">
        <f>HYPERLINK("./new_k5/query_cmdrels_weight_analyze/0.3_0.4_0.3/su_215504.xlsx","su_215504")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0.47916666666666657</v>
      </c>
    </row>
    <row r="318" spans="1:7" x14ac:dyDescent="0.15">
      <c r="A318" t="str">
        <f>HYPERLINK("./new_k5/query_cmdrels_weight_analyze/0.3_0.4_0.3/su_227385.xlsx","su_227385")</f>
        <v>su_227385</v>
      </c>
      <c r="B318">
        <v>0</v>
      </c>
      <c r="C318">
        <v>0</v>
      </c>
      <c r="D318">
        <v>0</v>
      </c>
      <c r="E318">
        <v>0.29166666666666657</v>
      </c>
      <c r="F318">
        <v>0</v>
      </c>
      <c r="G318">
        <v>0.6791666666666667</v>
      </c>
    </row>
    <row r="319" spans="1:7" x14ac:dyDescent="0.15">
      <c r="A319" t="str">
        <f>HYPERLINK("./new_k5/query_cmdrels_weight_analyze/0.3_0.4_0.3/su_273254.xlsx","su_273254")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HYPERLINK("./new_k5/query_cmdrels_weight_analyze/0.3_0.4_0.3/su_294161.xlsx","su_294161")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HYPERLINK("./new_k5/query_cmdrels_weight_analyze/0.3_0.4_0.3/su_302396.xlsx","su_302396")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HYPERLINK("./new_k5/query_cmdrels_weight_analyze/0.3_0.4_0.3/su_303981.xlsx","su_303981")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HYPERLINK("./new_k5/query_cmdrels_weight_analyze/0.3_0.4_0.3/su_305128.xlsx","su_305128")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HYPERLINK("./new_k5/query_cmdrels_weight_analyze/0.3_0.4_0.3/su_31512.xlsx","su_31512")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HYPERLINK("./new_k5/query_cmdrels_weight_analyze/0.3_0.4_0.3/su_380520.xlsx","su_380520")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</v>
      </c>
    </row>
    <row r="326" spans="1:7" x14ac:dyDescent="0.15">
      <c r="A326" t="str">
        <f>HYPERLINK("./new_k5/query_cmdrels_weight_analyze/0.3_0.4_0.3/su_38981.xlsx","su_38981")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HYPERLINK("./new_k5/query_cmdrels_weight_analyze/0.3_0.4_0.3/su_437330.xlsx","su_437330")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HYPERLINK("./new_k5/query_cmdrels_weight_analyze/0.3_0.4_0.3/su_441379.xlsx","su_441379")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HYPERLINK("./new_k5/query_cmdrels_weight_analyze/0.3_0.4_0.3/su_462788.xlsx","su_462788")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0.22222222222222221</v>
      </c>
      <c r="F329">
        <v>0.30555555555555558</v>
      </c>
      <c r="G329">
        <v>0.39444444444444438</v>
      </c>
    </row>
    <row r="330" spans="1:7" x14ac:dyDescent="0.15">
      <c r="A330" t="str">
        <f>HYPERLINK("./new_k5/query_cmdrels_weight_analyze/0.3_0.4_0.3/su_626606.xlsx","su_626606")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0.83333333333333337</v>
      </c>
    </row>
    <row r="331" spans="1:7" x14ac:dyDescent="0.15">
      <c r="A331" t="str">
        <f>HYPERLINK("./new_k5/query_cmdrels_weight_analyze/0.3_0.4_0.3/su_634469.xlsx","su_634469")</f>
        <v>su_634469</v>
      </c>
      <c r="B331">
        <v>0</v>
      </c>
      <c r="C331">
        <v>0.16666666666666671</v>
      </c>
      <c r="D331">
        <v>0</v>
      </c>
      <c r="E331">
        <v>0.27777777777777768</v>
      </c>
      <c r="F331">
        <v>0</v>
      </c>
      <c r="G331">
        <v>0.37777777777777782</v>
      </c>
    </row>
    <row r="332" spans="1:7" x14ac:dyDescent="0.15">
      <c r="A332" t="str">
        <f>HYPERLINK("./new_k5/query_cmdrels_weight_analyze/0.3_0.4_0.3/su_638616.xlsx","su_638616")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HYPERLINK("./new_k5/query_cmdrels_weight_analyze/0.3_0.4_0.3/su_678113.xlsx","su_678113")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HYPERLINK("./new_k5/query_cmdrels_weight_analyze/0.3_0.4_0.3/su_686394.xlsx","su_686394")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HYPERLINK("./new_k5/query_cmdrels_weight_analyze/0.3_0.4_0.3/su_716795.xlsx","su_716795")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0.125</v>
      </c>
    </row>
    <row r="336" spans="1:7" x14ac:dyDescent="0.15">
      <c r="A336" t="str">
        <f>HYPERLINK("./new_k5/query_cmdrels_weight_analyze/0.3_0.4_0.3/su_758463.xlsx","su_758463")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HYPERLINK("./new_k5/query_cmdrels_weight_analyze/0.3_0.4_0.3/su_766437.xlsx","su_766437")</f>
        <v>su_766437</v>
      </c>
      <c r="B337">
        <v>0</v>
      </c>
      <c r="C337">
        <v>0</v>
      </c>
      <c r="D337">
        <v>0</v>
      </c>
      <c r="E337">
        <v>6.6666666666666666E-2</v>
      </c>
      <c r="F337">
        <v>0.05</v>
      </c>
      <c r="G337">
        <v>0.28666666666666663</v>
      </c>
    </row>
    <row r="338" spans="1:7" x14ac:dyDescent="0.15">
      <c r="A338" t="str">
        <f>HYPERLINK("./new_k5/query_cmdrels_weight_analyze/0.3_0.4_0.3/su_904001.xlsx","su_904001")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HYPERLINK("./new_k5/query_cmdrels_weight_analyze/0.3_0.4_0.3/ul_100959.xlsx","ul_100959")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HYPERLINK("./new_k5/query_cmdrels_weight_analyze/0.3_0.4_0.3/ul_101073.xlsx","ul_101073")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HYPERLINK("./new_k5/query_cmdrels_weight_analyze/0.3_0.4_0.3/ul_101237.xlsx","ul_101237")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HYPERLINK("./new_k5/query_cmdrels_weight_analyze/0.3_0.4_0.3/ul_102752.xlsx","ul_102752")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HYPERLINK("./new_k5/query_cmdrels_weight_analyze/0.3_0.4_0.3/ul_108174.xlsx","ul_108174")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HYPERLINK("./new_k5/query_cmdrels_weight_analyze/0.3_0.4_0.3/ul_109536.xlsx","ul_109536")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HYPERLINK("./new_k5/query_cmdrels_weight_analyze/0.3_0.4_0.3/ul_112050.xlsx","ul_112050")</f>
        <v>ul_112050</v>
      </c>
      <c r="B345">
        <v>0</v>
      </c>
      <c r="C345">
        <v>0.25</v>
      </c>
      <c r="D345">
        <v>0.125</v>
      </c>
      <c r="E345">
        <v>0.75</v>
      </c>
      <c r="F345">
        <v>0.125</v>
      </c>
      <c r="G345">
        <v>0.75</v>
      </c>
    </row>
    <row r="346" spans="1:7" x14ac:dyDescent="0.15">
      <c r="A346" t="str">
        <f>HYPERLINK("./new_k5/query_cmdrels_weight_analyze/0.3_0.4_0.3/ul_116070.xlsx","ul_116070")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HYPERLINK("./new_k5/query_cmdrels_weight_analyze/0.3_0.4_0.3/ul_11851.xlsx","ul_11851")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HYPERLINK("./new_k5/query_cmdrels_weight_analyze/0.3_0.4_0.3/ul_119126.xlsx","ul_119126")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HYPERLINK("./new_k5/query_cmdrels_weight_analyze/0.3_0.4_0.3/ul_121718.xlsx","ul_121718")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HYPERLINK("./new_k5/query_cmdrels_weight_analyze/0.3_0.4_0.3/ul_12227.xlsx","ul_12227")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HYPERLINK("./new_k5/query_cmdrels_weight_analyze/0.3_0.4_0.3/ul_12453.xlsx","ul_12453")</f>
        <v>ul_12453</v>
      </c>
      <c r="B351">
        <v>0</v>
      </c>
      <c r="C351">
        <v>0.25</v>
      </c>
      <c r="D351">
        <v>0.125</v>
      </c>
      <c r="E351">
        <v>0.75</v>
      </c>
      <c r="F351">
        <v>0.125</v>
      </c>
      <c r="G351">
        <v>1</v>
      </c>
    </row>
    <row r="352" spans="1:7" x14ac:dyDescent="0.15">
      <c r="A352" t="str">
        <f>HYPERLINK("./new_k5/query_cmdrels_weight_analyze/0.3_0.4_0.3/ul_12535.xlsx","ul_12535")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0.16666666666666671</v>
      </c>
    </row>
    <row r="353" spans="1:7" x14ac:dyDescent="0.15">
      <c r="A353" t="str">
        <f>HYPERLINK("./new_k5/query_cmdrels_weight_analyze/0.3_0.4_0.3/ul_127066.xlsx","ul_127066")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0.41666666666666657</v>
      </c>
    </row>
    <row r="354" spans="1:7" x14ac:dyDescent="0.15">
      <c r="A354" t="str">
        <f>HYPERLINK("./new_k5/query_cmdrels_weight_analyze/0.3_0.4_0.3/ul_128953.xlsx","ul_128953")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HYPERLINK("./new_k5/query_cmdrels_weight_analyze/0.3_0.4_0.3/ul_134829.xlsx","ul_134829")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0.66666666666666663</v>
      </c>
    </row>
    <row r="356" spans="1:7" x14ac:dyDescent="0.15">
      <c r="A356" t="str">
        <f>HYPERLINK("./new_k5/query_cmdrels_weight_analyze/0.3_0.4_0.3/ul_136371.xlsx","ul_136371")</f>
        <v>ul_136371</v>
      </c>
      <c r="B356">
        <v>0</v>
      </c>
      <c r="C356">
        <v>0</v>
      </c>
      <c r="D356">
        <v>0</v>
      </c>
      <c r="E356">
        <v>0.16666666666666671</v>
      </c>
      <c r="F356">
        <v>0</v>
      </c>
      <c r="G356">
        <v>0.3</v>
      </c>
    </row>
    <row r="357" spans="1:7" x14ac:dyDescent="0.15">
      <c r="A357" t="str">
        <f>HYPERLINK("./new_k5/query_cmdrels_weight_analyze/0.3_0.4_0.3/ul_136884.xlsx","ul_136884")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HYPERLINK("./new_k5/query_cmdrels_weight_analyze/0.3_0.4_0.3/ul_138398.xlsx","ul_138398")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HYPERLINK("./new_k5/query_cmdrels_weight_analyze/0.3_0.4_0.3/ul_139271.xlsx","ul_139271")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0.33333333333333331</v>
      </c>
      <c r="F359">
        <v>0.33333333333333331</v>
      </c>
      <c r="G359">
        <v>0.45833333333333331</v>
      </c>
    </row>
    <row r="360" spans="1:7" x14ac:dyDescent="0.15">
      <c r="A360" t="str">
        <f>HYPERLINK("./new_k5/query_cmdrels_weight_analyze/0.3_0.4_0.3/ul_140482.xlsx","ul_140482")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HYPERLINK("./new_k5/query_cmdrels_weight_analyze/0.3_0.4_0.3/ul_14191.xlsx","ul_14191")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0.1111111111111111</v>
      </c>
    </row>
    <row r="362" spans="1:7" x14ac:dyDescent="0.15">
      <c r="A362" t="str">
        <f>HYPERLINK("./new_k5/query_cmdrels_weight_analyze/0.3_0.4_0.3/ul_145929.xlsx","ul_145929")</f>
        <v>ul_145929</v>
      </c>
      <c r="B362">
        <v>0</v>
      </c>
      <c r="C362">
        <v>0</v>
      </c>
      <c r="D362">
        <v>0.16666666666666671</v>
      </c>
      <c r="E362">
        <v>0.25</v>
      </c>
      <c r="F362">
        <v>0.16666666666666671</v>
      </c>
      <c r="G362">
        <v>0.5</v>
      </c>
    </row>
    <row r="363" spans="1:7" x14ac:dyDescent="0.15">
      <c r="A363" t="str">
        <f>HYPERLINK("./new_k5/query_cmdrels_weight_analyze/0.3_0.4_0.3/ul_148985.xlsx","ul_148985")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HYPERLINK("./new_k5/query_cmdrels_weight_analyze/0.3_0.4_0.3/ul_15405.xlsx","ul_15405")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HYPERLINK("./new_k5/query_cmdrels_weight_analyze/0.3_0.4_0.3/ul_155551.xlsx","ul_155551")</f>
        <v>ul_155551</v>
      </c>
      <c r="B365">
        <v>0</v>
      </c>
      <c r="C365">
        <v>0.5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HYPERLINK("./new_k5/query_cmdrels_weight_analyze/0.3_0.4_0.3/ul_159672.xlsx","ul_159672")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HYPERLINK("./new_k5/query_cmdrels_weight_analyze/0.3_0.4_0.3/ul_163845.xlsx","ul_163845")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HYPERLINK("./new_k5/query_cmdrels_weight_analyze/0.3_0.4_0.3/ul_16407.xlsx","ul_16407")</f>
        <v>ul_16407</v>
      </c>
      <c r="B368">
        <v>0.5</v>
      </c>
      <c r="C368">
        <v>0.5</v>
      </c>
      <c r="D368">
        <v>0.5</v>
      </c>
      <c r="E368">
        <v>0.5</v>
      </c>
      <c r="F368">
        <v>0.75</v>
      </c>
      <c r="G368">
        <v>0.5</v>
      </c>
    </row>
    <row r="369" spans="1:7" x14ac:dyDescent="0.15">
      <c r="A369" t="str">
        <f>HYPERLINK("./new_k5/query_cmdrels_weight_analyze/0.3_0.4_0.3/ul_166558.xlsx","ul_166558")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HYPERLINK("./new_k5/query_cmdrels_weight_analyze/0.3_0.4_0.3/ul_171314.xlsx","ul_171314")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0.25</v>
      </c>
    </row>
    <row r="371" spans="1:7" x14ac:dyDescent="0.15">
      <c r="A371" t="str">
        <f>HYPERLINK("./new_k5/query_cmdrels_weight_analyze/0.3_0.4_0.3/ul_182032.xlsx","ul_182032")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HYPERLINK("./new_k5/query_cmdrels_weight_analyze/0.3_0.4_0.3/ul_19344.xlsx","ul_19344")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HYPERLINK("./new_k5/query_cmdrels_weight_analyze/0.3_0.4_0.3/ul_19369.xlsx","ul_19369")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HYPERLINK("./new_k5/query_cmdrels_weight_analyze/0.3_0.4_0.3/ul_19485.xlsx","ul_19485")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HYPERLINK("./new_k5/query_cmdrels_weight_analyze/0.3_0.4_0.3/ul_20370.xlsx","ul_20370")</f>
        <v>ul_20370</v>
      </c>
      <c r="B375">
        <v>0</v>
      </c>
      <c r="C375">
        <v>0</v>
      </c>
      <c r="D375">
        <v>0</v>
      </c>
      <c r="E375">
        <v>0.16666666666666671</v>
      </c>
      <c r="F375">
        <v>0</v>
      </c>
      <c r="G375">
        <v>0.16666666666666671</v>
      </c>
    </row>
    <row r="376" spans="1:7" x14ac:dyDescent="0.15">
      <c r="A376" t="str">
        <f>HYPERLINK("./new_k5/query_cmdrels_weight_analyze/0.3_0.4_0.3/ul_211817.xlsx","ul_211817")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HYPERLINK("./new_k5/query_cmdrels_weight_analyze/0.3_0.4_0.3/ul_212925.xlsx","ul_212925")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HYPERLINK("./new_k5/query_cmdrels_weight_analyze/0.3_0.4_0.3/ul_21471.xlsx","ul_21471")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HYPERLINK("./new_k5/query_cmdrels_weight_analyze/0.3_0.4_0.3/ul_22545.xlsx","ul_22545")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HYPERLINK("./new_k5/query_cmdrels_weight_analyze/0.3_0.4_0.3/ul_230481.xlsx","ul_230481")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HYPERLINK("./new_k5/query_cmdrels_weight_analyze/0.3_0.4_0.3/ul_230673.xlsx","ul_230673")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0.5</v>
      </c>
    </row>
    <row r="382" spans="1:7" x14ac:dyDescent="0.15">
      <c r="A382" t="str">
        <f>HYPERLINK("./new_k5/query_cmdrels_weight_analyze/0.3_0.4_0.3/ul_230800.xlsx","ul_230800")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HYPERLINK("./new_k5/query_cmdrels_weight_analyze/0.3_0.4_0.3/ul_232384.xlsx","ul_232384")</f>
        <v>ul_232384</v>
      </c>
      <c r="B383">
        <v>0</v>
      </c>
      <c r="C383">
        <v>0.5</v>
      </c>
      <c r="D383">
        <v>0</v>
      </c>
      <c r="E383">
        <v>0.83333333333333326</v>
      </c>
      <c r="F383">
        <v>0</v>
      </c>
      <c r="G383">
        <v>0.83333333333333326</v>
      </c>
    </row>
    <row r="384" spans="1:7" x14ac:dyDescent="0.15">
      <c r="A384" t="str">
        <f>HYPERLINK("./new_k5/query_cmdrels_weight_analyze/0.3_0.4_0.3/ul_24441.xlsx","ul_24441")</f>
        <v>ul_24441</v>
      </c>
      <c r="B384">
        <v>0</v>
      </c>
      <c r="C384">
        <v>0.5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HYPERLINK("./new_k5/query_cmdrels_weight_analyze/0.3_0.4_0.3/ul_246535.xlsx","ul_246535")</f>
        <v>ul_246535</v>
      </c>
      <c r="B385">
        <v>0.2</v>
      </c>
      <c r="C385">
        <v>0.2</v>
      </c>
      <c r="D385">
        <v>0.2</v>
      </c>
      <c r="E385">
        <v>0.33333333333333331</v>
      </c>
      <c r="F385">
        <v>0.2</v>
      </c>
      <c r="G385">
        <v>0.45333333333333331</v>
      </c>
    </row>
    <row r="386" spans="1:7" x14ac:dyDescent="0.15">
      <c r="A386" t="str">
        <f>HYPERLINK("./new_k5/query_cmdrels_weight_analyze/0.3_0.4_0.3/ul_259791.xlsx","ul_259791")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HYPERLINK("./new_k5/query_cmdrels_weight_analyze/0.3_0.4_0.3/ul_273971.xlsx","ul_273971")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0.16666666666666671</v>
      </c>
      <c r="F387">
        <v>0.43333333333333329</v>
      </c>
      <c r="G387">
        <v>0.25</v>
      </c>
    </row>
    <row r="388" spans="1:7" x14ac:dyDescent="0.15">
      <c r="A388" t="str">
        <f>HYPERLINK("./new_k5/query_cmdrels_weight_analyze/0.3_0.4_0.3/ul_28553.xlsx","ul_28553")</f>
        <v>ul_28553</v>
      </c>
      <c r="B388">
        <v>0.25</v>
      </c>
      <c r="C388">
        <v>0</v>
      </c>
      <c r="D388">
        <v>0.5</v>
      </c>
      <c r="E388">
        <v>0.125</v>
      </c>
      <c r="F388">
        <v>0.5</v>
      </c>
      <c r="G388">
        <v>0.125</v>
      </c>
    </row>
    <row r="389" spans="1:7" x14ac:dyDescent="0.15">
      <c r="A389" t="str">
        <f>HYPERLINK("./new_k5/query_cmdrels_weight_analyze/0.3_0.4_0.3/ul_288521.xlsx","ul_288521")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HYPERLINK("./new_k5/query_cmdrels_weight_analyze/0.3_0.4_0.3/ul_32290.xlsx","ul_32290")</f>
        <v>ul_32290</v>
      </c>
      <c r="B390">
        <v>0</v>
      </c>
      <c r="C390">
        <v>0</v>
      </c>
      <c r="D390">
        <v>0</v>
      </c>
      <c r="E390">
        <v>0.125</v>
      </c>
      <c r="F390">
        <v>0</v>
      </c>
      <c r="G390">
        <v>0.22500000000000001</v>
      </c>
    </row>
    <row r="391" spans="1:7" x14ac:dyDescent="0.15">
      <c r="A391" t="str">
        <f>HYPERLINK("./new_k5/query_cmdrels_weight_analyze/0.3_0.4_0.3/ul_328882.xlsx","ul_328882")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HYPERLINK("./new_k5/query_cmdrels_weight_analyze/0.3_0.4_0.3/ul_35131.xlsx","ul_35131")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0.66666666666666663</v>
      </c>
    </row>
    <row r="393" spans="1:7" x14ac:dyDescent="0.15">
      <c r="A393" t="str">
        <f>HYPERLINK("./new_k5/query_cmdrels_weight_analyze/0.3_0.4_0.3/ul_35333.xlsx","ul_35333")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HYPERLINK("./new_k5/query_cmdrels_weight_analyze/0.3_0.4_0.3/ul_35711.xlsx","ul_35711")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HYPERLINK("./new_k5/query_cmdrels_weight_analyze/0.3_0.4_0.3/ul_3575.xlsx","ul_3575")</f>
        <v>ul_3575</v>
      </c>
      <c r="B395">
        <v>0</v>
      </c>
      <c r="C395">
        <v>0</v>
      </c>
      <c r="D395">
        <v>8.3333333333333329E-2</v>
      </c>
      <c r="E395">
        <v>8.3333333333333329E-2</v>
      </c>
      <c r="F395">
        <v>8.3333333333333329E-2</v>
      </c>
      <c r="G395">
        <v>8.3333333333333329E-2</v>
      </c>
    </row>
    <row r="396" spans="1:7" x14ac:dyDescent="0.15">
      <c r="A396" t="str">
        <f>HYPERLINK("./new_k5/query_cmdrels_weight_analyze/0.3_0.4_0.3/ul_35832.xlsx","ul_35832")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HYPERLINK("./new_k5/query_cmdrels_weight_analyze/0.3_0.4_0.3/ul_370318.xlsx","ul_370318")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0.2857142857142857</v>
      </c>
      <c r="F397">
        <v>0.14285714285714279</v>
      </c>
      <c r="G397">
        <v>0.39285714285714279</v>
      </c>
    </row>
    <row r="398" spans="1:7" x14ac:dyDescent="0.15">
      <c r="A398" t="str">
        <f>HYPERLINK("./new_k5/query_cmdrels_weight_analyze/0.3_0.4_0.3/ul_37329.xlsx","ul_37329")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0.66666666666666663</v>
      </c>
      <c r="F398">
        <v>0.33333333333333331</v>
      </c>
      <c r="G398">
        <v>0.66666666666666663</v>
      </c>
    </row>
    <row r="399" spans="1:7" x14ac:dyDescent="0.15">
      <c r="A399" t="str">
        <f>HYPERLINK("./new_k5/query_cmdrels_weight_analyze/0.3_0.4_0.3/ul_38209.xlsx","ul_38209")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HYPERLINK("./new_k5/query_cmdrels_weight_analyze/0.3_0.4_0.3/ul_41246.xlsx","ul_41246")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HYPERLINK("./new_k5/query_cmdrels_weight_analyze/0.3_0.4_0.3/ul_41362.xlsx","ul_41362")</f>
        <v>ul_41362</v>
      </c>
      <c r="B401">
        <v>0</v>
      </c>
      <c r="C401">
        <v>0</v>
      </c>
      <c r="D401">
        <v>0</v>
      </c>
      <c r="E401">
        <v>8.3333333333333329E-2</v>
      </c>
      <c r="F401">
        <v>0</v>
      </c>
      <c r="G401">
        <v>8.3333333333333329E-2</v>
      </c>
    </row>
    <row r="402" spans="1:7" x14ac:dyDescent="0.15">
      <c r="A402" t="str">
        <f>HYPERLINK("./new_k5/query_cmdrels_weight_analyze/0.3_0.4_0.3/ul_48200.xlsx","ul_48200")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HYPERLINK("./new_k5/query_cmdrels_weight_analyze/0.3_0.4_0.3/ul_50098.xlsx","ul_50098")</f>
        <v>ul_50098</v>
      </c>
      <c r="B403">
        <v>0</v>
      </c>
      <c r="C403">
        <v>0</v>
      </c>
      <c r="D403">
        <v>0.1166666666666667</v>
      </c>
      <c r="E403">
        <v>0.05</v>
      </c>
      <c r="F403">
        <v>0.1166666666666667</v>
      </c>
      <c r="G403">
        <v>0.1</v>
      </c>
    </row>
    <row r="404" spans="1:7" x14ac:dyDescent="0.15">
      <c r="A404" t="str">
        <f>HYPERLINK("./new_k5/query_cmdrels_weight_analyze/0.3_0.4_0.3/ul_50785.xlsx","ul_50785")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HYPERLINK("./new_k5/query_cmdrels_weight_analyze/0.3_0.4_0.3/ul_5085.xlsx","ul_5085")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HYPERLINK("./new_k5/query_cmdrels_weight_analyze/0.3_0.4_0.3/ul_53737.xlsx","ul_53737")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HYPERLINK("./new_k5/query_cmdrels_weight_analyze/0.3_0.4_0.3/ul_55125.xlsx","ul_55125")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HYPERLINK("./new_k5/query_cmdrels_weight_analyze/0.3_0.4_0.3/ul_56453.xlsx","ul_56453")</f>
        <v>ul_56453</v>
      </c>
      <c r="B408">
        <v>0</v>
      </c>
      <c r="C408">
        <v>0.25</v>
      </c>
      <c r="D408">
        <v>8.3333333333333329E-2</v>
      </c>
      <c r="E408">
        <v>0.41666666666666657</v>
      </c>
      <c r="F408">
        <v>8.3333333333333329E-2</v>
      </c>
      <c r="G408">
        <v>0.56666666666666665</v>
      </c>
    </row>
    <row r="409" spans="1:7" x14ac:dyDescent="0.15">
      <c r="A409" t="str">
        <f>HYPERLINK("./new_k5/query_cmdrels_weight_analyze/0.3_0.4_0.3/ul_63648.xlsx","ul_63648")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HYPERLINK("./new_k5/query_cmdrels_weight_analyze/0.3_0.4_0.3/ul_6402.xlsx","ul_6402")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0.33333333333333331</v>
      </c>
    </row>
    <row r="411" spans="1:7" x14ac:dyDescent="0.15">
      <c r="A411" t="str">
        <f>HYPERLINK("./new_k5/query_cmdrels_weight_analyze/0.3_0.4_0.3/ul_65106.xlsx","ul_65106")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0.66666666666666663</v>
      </c>
    </row>
    <row r="412" spans="1:7" x14ac:dyDescent="0.15">
      <c r="A412" t="str">
        <f>HYPERLINK("./new_k5/query_cmdrels_weight_analyze/0.3_0.4_0.3/ul_65932.xlsx","ul_65932")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HYPERLINK("./new_k5/query_cmdrels_weight_analyze/0.3_0.4_0.3/ul_6596.xlsx","ul_6596")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HYPERLINK("./new_k5/query_cmdrels_weight_analyze/0.3_0.4_0.3/ul_67503.xlsx","ul_67503")</f>
        <v>ul_67503</v>
      </c>
      <c r="B414">
        <v>0</v>
      </c>
      <c r="C414">
        <v>0.5</v>
      </c>
      <c r="D414">
        <v>0.25</v>
      </c>
      <c r="E414">
        <v>0.5</v>
      </c>
      <c r="F414">
        <v>0.5</v>
      </c>
      <c r="G414">
        <v>0.75</v>
      </c>
    </row>
    <row r="415" spans="1:7" x14ac:dyDescent="0.15">
      <c r="A415" t="str">
        <f>HYPERLINK("./new_k5/query_cmdrels_weight_analyze/0.3_0.4_0.3/ul_67592.xlsx","ul_67592")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HYPERLINK("./new_k5/query_cmdrels_weight_analyze/0.3_0.4_0.3/ul_70581.xlsx","ul_70581")</f>
        <v>ul_70581</v>
      </c>
      <c r="B416">
        <v>0</v>
      </c>
      <c r="C416">
        <v>0</v>
      </c>
      <c r="D416">
        <v>0.1</v>
      </c>
      <c r="E416">
        <v>0.23333333333333331</v>
      </c>
      <c r="F416">
        <v>0.1</v>
      </c>
      <c r="G416">
        <v>0.3833333333333333</v>
      </c>
    </row>
    <row r="417" spans="1:7" x14ac:dyDescent="0.15">
      <c r="A417" t="str">
        <f>HYPERLINK("./new_k5/query_cmdrels_weight_analyze/0.3_0.4_0.3/ul_70614.xlsx","ul_70614")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HYPERLINK("./new_k5/query_cmdrels_weight_analyze/0.3_0.4_0.3/ul_71465.xlsx","ul_71465")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HYPERLINK("./new_k5/query_cmdrels_weight_analyze/0.3_0.4_0.3/ul_7226.xlsx","ul_7226")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0.33333333333333331</v>
      </c>
      <c r="F419">
        <v>0.33333333333333331</v>
      </c>
      <c r="G419">
        <v>0.5</v>
      </c>
    </row>
    <row r="420" spans="1:7" x14ac:dyDescent="0.15">
      <c r="A420" t="str">
        <f>HYPERLINK("./new_k5/query_cmdrels_weight_analyze/0.3_0.4_0.3/ul_78182.xlsx","ul_78182")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</v>
      </c>
    </row>
    <row r="421" spans="1:7" x14ac:dyDescent="0.15">
      <c r="A421" t="str">
        <f>HYPERLINK("./new_k5/query_cmdrels_weight_analyze/0.3_0.4_0.3/ul_79678.xlsx","ul_79678")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HYPERLINK("./new_k5/query_cmdrels_weight_analyze/0.3_0.4_0.3/ul_79702.xlsx","ul_79702")</f>
        <v>ul_79702</v>
      </c>
      <c r="B422">
        <v>0</v>
      </c>
      <c r="C422">
        <v>0.33333333333333331</v>
      </c>
      <c r="D422">
        <v>0</v>
      </c>
      <c r="E422">
        <v>0.55555555555555547</v>
      </c>
      <c r="F422">
        <v>0</v>
      </c>
      <c r="G422">
        <v>0.75555555555555554</v>
      </c>
    </row>
    <row r="423" spans="1:7" x14ac:dyDescent="0.15">
      <c r="A423" t="str">
        <f>HYPERLINK("./new_k5/query_cmdrels_weight_analyze/0.3_0.4_0.3/ul_83593.xlsx","ul_83593")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HYPERLINK("./new_k5/query_cmdrels_weight_analyze/0.3_0.4_0.3/ul_84381.xlsx","ul_84381")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HYPERLINK("./new_k5/query_cmdrels_weight_analyze/0.3_0.4_0.3/ul_85180.xlsx","ul_85180")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0.27777777777777768</v>
      </c>
    </row>
    <row r="426" spans="1:7" x14ac:dyDescent="0.15">
      <c r="A426" t="str">
        <f>HYPERLINK("./new_k5/query_cmdrels_weight_analyze/0.3_0.4_0.3/ul_86071.xlsx","ul_86071")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HYPERLINK("./new_k5/query_cmdrels_weight_analyze/0.3_0.4_0.3/ul_86729.xlsx","ul_86729")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HYPERLINK("./new_k5/query_cmdrels_weight_analyze/0.3_0.4_0.3/ul_88824.xlsx","ul_88824")</f>
        <v>ul_88824</v>
      </c>
      <c r="B428">
        <v>0</v>
      </c>
      <c r="C428">
        <v>0.33333333333333331</v>
      </c>
      <c r="D428">
        <v>0</v>
      </c>
      <c r="E428">
        <v>0.33333333333333331</v>
      </c>
      <c r="F428">
        <v>0</v>
      </c>
      <c r="G428">
        <v>0.33333333333333331</v>
      </c>
    </row>
    <row r="429" spans="1:7" x14ac:dyDescent="0.15">
      <c r="A429" t="str">
        <f>HYPERLINK("./new_k5/query_cmdrels_weight_analyze/0.3_0.4_0.3/ul_8945.xlsx","ul_8945")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HYPERLINK("./new_k5/query_cmdrels_weight_analyze/0.3_0.4_0.3/ul_89933.xlsx","ul_89933")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HYPERLINK("./new_k5/query_cmdrels_weight_analyze/0.3_0.4_0.3/ul_91297.xlsx","ul_91297")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HYPERLINK("./new_k5/query_cmdrels_weight_analyze/0.3_0.4_0.3/ul_9252.xlsx","ul_9252")</f>
        <v>ul_9252</v>
      </c>
      <c r="B432">
        <v>0</v>
      </c>
      <c r="C432">
        <v>0</v>
      </c>
      <c r="D432">
        <v>0.23333333333333331</v>
      </c>
      <c r="E432">
        <v>6.6666666666666666E-2</v>
      </c>
      <c r="F432">
        <v>0.23333333333333331</v>
      </c>
      <c r="G432">
        <v>0.1466666666666667</v>
      </c>
    </row>
    <row r="433" spans="1:7" x14ac:dyDescent="0.15">
      <c r="A433" t="str">
        <f>HYPERLINK("./new_k5/query_cmdrels_weight_analyze/0.3_0.4_0.3/ul_92560.xlsx","ul_92560")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0.7</v>
      </c>
    </row>
    <row r="434" spans="1:7" x14ac:dyDescent="0.15">
      <c r="A434" t="str">
        <f>HYPERLINK("./new_k5/query_cmdrels_weight_analyze/0.3_0.4_0.3/ul_92799.xlsx","ul_92799")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0.27777777777777768</v>
      </c>
      <c r="F434">
        <v>0.53611111111111109</v>
      </c>
      <c r="G434">
        <v>0.53611111111111109</v>
      </c>
    </row>
    <row r="435" spans="1:7" x14ac:dyDescent="0.15">
      <c r="A435" t="str">
        <f>HYPERLINK("./new_k5/query_cmdrels_weight_analyze/0.3_0.4_0.3/ul_93139.xlsx","ul_93139")</f>
        <v>ul_93139</v>
      </c>
      <c r="B435">
        <v>0</v>
      </c>
      <c r="C435">
        <v>0.5</v>
      </c>
      <c r="D435">
        <v>0.25</v>
      </c>
      <c r="E435">
        <v>0.5</v>
      </c>
      <c r="F435">
        <v>0.25</v>
      </c>
      <c r="G435">
        <v>0.5</v>
      </c>
    </row>
    <row r="436" spans="1:7" x14ac:dyDescent="0.15">
      <c r="A436" t="str">
        <f>HYPERLINK("./new_k5/query_cmdrels_weight_analyze/0.3_0.4_0.3/ul_98461.xlsx","ul_98461")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HYPERLINK("./new_k5/query_cmdrels_weight_analyze/0.3_0.5_0.2/au_102733.xlsx","au_102733")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HYPERLINK("./new_k5/query_cmdrels_weight_analyze/0.3_0.5_0.2/au_1029436.xlsx","au_1029436")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HYPERLINK("./new_k5/query_cmdrels_weight_analyze/0.3_0.5_0.2/au_1029502.xlsx","au_1029502")</f>
        <v>au_1029502</v>
      </c>
      <c r="B5">
        <v>0.25</v>
      </c>
      <c r="C5">
        <v>0.25</v>
      </c>
      <c r="D5">
        <v>0.25</v>
      </c>
      <c r="E5">
        <v>0.25</v>
      </c>
      <c r="F5">
        <v>0.375</v>
      </c>
      <c r="G5">
        <v>0.25</v>
      </c>
    </row>
    <row r="6" spans="1:7" x14ac:dyDescent="0.15">
      <c r="A6" t="str">
        <f>HYPERLINK("./new_k5/query_cmdrels_weight_analyze/0.3_0.5_0.2/au_1029531.xlsx","au_1029531")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HYPERLINK("./new_k5/query_cmdrels_weight_analyze/0.3_0.5_0.2/au_104542.xlsx","au_104542")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HYPERLINK("./new_k5/query_cmdrels_weight_analyze/0.3_0.5_0.2/au_109070.xlsx","au_109070")</f>
        <v>au_109070</v>
      </c>
      <c r="B8">
        <v>0</v>
      </c>
      <c r="C8">
        <v>0</v>
      </c>
      <c r="D8">
        <v>0.23333333333333331</v>
      </c>
      <c r="E8">
        <v>0</v>
      </c>
      <c r="F8">
        <v>0.3833333333333333</v>
      </c>
      <c r="G8">
        <v>0.05</v>
      </c>
    </row>
    <row r="9" spans="1:7" x14ac:dyDescent="0.15">
      <c r="A9" t="str">
        <f>HYPERLINK("./new_k5/query_cmdrels_weight_analyze/0.3_0.5_0.2/au_109381.xlsx","au_109381")</f>
        <v>au_109381</v>
      </c>
      <c r="B9">
        <v>0</v>
      </c>
      <c r="C9">
        <v>0.5</v>
      </c>
      <c r="D9">
        <v>0.25</v>
      </c>
      <c r="E9">
        <v>0.83333333333333326</v>
      </c>
      <c r="F9">
        <v>0.25</v>
      </c>
      <c r="G9">
        <v>0.83333333333333326</v>
      </c>
    </row>
    <row r="10" spans="1:7" x14ac:dyDescent="0.15">
      <c r="A10" t="str">
        <f>HYPERLINK("./new_k5/query_cmdrels_weight_analyze/0.3_0.5_0.2/au_110477.xlsx","au_110477")</f>
        <v>au_110477</v>
      </c>
      <c r="B10">
        <v>0.25</v>
      </c>
      <c r="C10">
        <v>0.25</v>
      </c>
      <c r="D10">
        <v>0.5</v>
      </c>
      <c r="E10">
        <v>0.75</v>
      </c>
      <c r="F10">
        <v>0.5</v>
      </c>
      <c r="G10">
        <v>0.75</v>
      </c>
    </row>
    <row r="11" spans="1:7" x14ac:dyDescent="0.15">
      <c r="A11" t="str">
        <f>HYPERLINK("./new_k5/query_cmdrels_weight_analyze/0.3_0.5_0.2/au_111678.xlsx","au_111678")</f>
        <v>au_111678</v>
      </c>
      <c r="B11">
        <v>0</v>
      </c>
      <c r="C11">
        <v>0.33333333333333331</v>
      </c>
      <c r="D11">
        <v>0.1111111111111111</v>
      </c>
      <c r="E11">
        <v>0.33333333333333331</v>
      </c>
      <c r="F11">
        <v>0.1111111111111111</v>
      </c>
      <c r="G11">
        <v>0.33333333333333331</v>
      </c>
    </row>
    <row r="12" spans="1:7" x14ac:dyDescent="0.15">
      <c r="A12" t="str">
        <f>HYPERLINK("./new_k5/query_cmdrels_weight_analyze/0.3_0.5_0.2/au_112512.xlsx","au_112512")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HYPERLINK("./new_k5/query_cmdrels_weight_analyze/0.3_0.5_0.2/au_115369.xlsx","au_115369")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HYPERLINK("./new_k5/query_cmdrels_weight_analyze/0.3_0.5_0.2/au_11789.xlsx","au_11789")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HYPERLINK("./new_k5/query_cmdrels_weight_analyze/0.3_0.5_0.2/au_117950.xlsx","au_117950")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0.32500000000000001</v>
      </c>
    </row>
    <row r="16" spans="1:7" x14ac:dyDescent="0.15">
      <c r="A16" t="str">
        <f>HYPERLINK("./new_k5/query_cmdrels_weight_analyze/0.3_0.5_0.2/au_122113.xlsx","au_122113")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HYPERLINK("./new_k5/query_cmdrels_weight_analyze/0.3_0.5_0.2/au_123798.xlsx","au_123798")</f>
        <v>au_123798</v>
      </c>
      <c r="B17">
        <v>0</v>
      </c>
      <c r="C17">
        <v>0</v>
      </c>
      <c r="D17">
        <v>5.5555555555555552E-2</v>
      </c>
      <c r="E17">
        <v>5.5555555555555552E-2</v>
      </c>
      <c r="F17">
        <v>0.23888888888888879</v>
      </c>
      <c r="G17">
        <v>0.23888888888888879</v>
      </c>
    </row>
    <row r="18" spans="1:7" x14ac:dyDescent="0.15">
      <c r="A18" t="str">
        <f>HYPERLINK("./new_k5/query_cmdrels_weight_analyze/0.3_0.5_0.2/au_125257.xlsx","au_125257")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HYPERLINK("./new_k5/query_cmdrels_weight_analyze/0.3_0.5_0.2/au_126153.xlsx","au_126153")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0.33333333333333331</v>
      </c>
      <c r="F19">
        <v>0.45833333333333331</v>
      </c>
      <c r="G19">
        <v>0.43333333333333329</v>
      </c>
    </row>
    <row r="20" spans="1:7" x14ac:dyDescent="0.15">
      <c r="A20" t="str">
        <f>HYPERLINK("./new_k5/query_cmdrels_weight_analyze/0.3_0.5_0.2/au_127326.xlsx","au_127326")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HYPERLINK("./new_k5/query_cmdrels_weight_analyze/0.3_0.5_0.2/au_128463.xlsx","au_128463")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HYPERLINK("./new_k5/query_cmdrels_weight_analyze/0.3_0.5_0.2/au_130393.xlsx","au_130393")</f>
        <v>au_130393</v>
      </c>
      <c r="B22">
        <v>0</v>
      </c>
      <c r="C22">
        <v>0.25</v>
      </c>
      <c r="D22">
        <v>0.125</v>
      </c>
      <c r="E22">
        <v>0.25</v>
      </c>
      <c r="F22">
        <v>0.125</v>
      </c>
      <c r="G22">
        <v>0.375</v>
      </c>
    </row>
    <row r="23" spans="1:7" x14ac:dyDescent="0.15">
      <c r="A23" t="str">
        <f>HYPERLINK("./new_k5/query_cmdrels_weight_analyze/0.3_0.5_0.2/au_131570.xlsx","au_131570")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HYPERLINK("./new_k5/query_cmdrels_weight_analyze/0.3_0.5_0.2/au_133318.xlsx","au_133318")</f>
        <v>au_133318</v>
      </c>
      <c r="B24">
        <v>0</v>
      </c>
      <c r="C24">
        <v>0.25</v>
      </c>
      <c r="D24">
        <v>0</v>
      </c>
      <c r="E24">
        <v>0.41666666666666657</v>
      </c>
      <c r="F24">
        <v>0</v>
      </c>
      <c r="G24">
        <v>0.41666666666666657</v>
      </c>
    </row>
    <row r="25" spans="1:7" x14ac:dyDescent="0.15">
      <c r="A25" t="str">
        <f>HYPERLINK("./new_k5/query_cmdrels_weight_analyze/0.3_0.5_0.2/au_133343.xlsx","au_133343")</f>
        <v>au_133343</v>
      </c>
      <c r="B25">
        <v>0</v>
      </c>
      <c r="C25">
        <v>0</v>
      </c>
      <c r="D25">
        <v>0</v>
      </c>
      <c r="E25">
        <v>0.1111111111111111</v>
      </c>
      <c r="F25">
        <v>0</v>
      </c>
      <c r="G25">
        <v>0.27777777777777768</v>
      </c>
    </row>
    <row r="26" spans="1:7" x14ac:dyDescent="0.15">
      <c r="A26" t="str">
        <f>HYPERLINK("./new_k5/query_cmdrels_weight_analyze/0.3_0.5_0.2/au_133389.xlsx","au_133389")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HYPERLINK("./new_k5/query_cmdrels_weight_analyze/0.3_0.5_0.2/au_141277.xlsx","au_141277")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HYPERLINK("./new_k5/query_cmdrels_weight_analyze/0.3_0.5_0.2/au_143819.xlsx","au_143819")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HYPERLINK("./new_k5/query_cmdrels_weight_analyze/0.3_0.5_0.2/au_145935.xlsx","au_145935")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HYPERLINK("./new_k5/query_cmdrels_weight_analyze/0.3_0.5_0.2/au_147241.xlsx","au_147241")</f>
        <v>au_147241</v>
      </c>
      <c r="B30">
        <v>0</v>
      </c>
      <c r="C30">
        <v>0</v>
      </c>
      <c r="D30">
        <v>0.29166666666666657</v>
      </c>
      <c r="E30">
        <v>0.29166666666666657</v>
      </c>
      <c r="F30">
        <v>0.29166666666666657</v>
      </c>
      <c r="G30">
        <v>0.29166666666666657</v>
      </c>
    </row>
    <row r="31" spans="1:7" x14ac:dyDescent="0.15">
      <c r="A31" t="str">
        <f>HYPERLINK("./new_k5/query_cmdrels_weight_analyze/0.3_0.5_0.2/au_147800.xlsx","au_147800")</f>
        <v>au_147800</v>
      </c>
      <c r="B31">
        <v>0</v>
      </c>
      <c r="C31">
        <v>0</v>
      </c>
      <c r="D31">
        <v>0.1111111111111111</v>
      </c>
      <c r="E31">
        <v>0.1111111111111111</v>
      </c>
      <c r="F31">
        <v>0.1111111111111111</v>
      </c>
      <c r="G31">
        <v>0.1111111111111111</v>
      </c>
    </row>
    <row r="32" spans="1:7" x14ac:dyDescent="0.15">
      <c r="A32" t="str">
        <f>HYPERLINK("./new_k5/query_cmdrels_weight_analyze/0.3_0.5_0.2/au_148321.xlsx","au_148321")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0.40277777777777768</v>
      </c>
    </row>
    <row r="33" spans="1:7" x14ac:dyDescent="0.15">
      <c r="A33" t="str">
        <f>HYPERLINK("./new_k5/query_cmdrels_weight_analyze/0.3_0.5_0.2/au_148638.xlsx","au_148638")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HYPERLINK("./new_k5/query_cmdrels_weight_analyze/0.3_0.5_0.2/au_151049.xlsx","au_151049")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HYPERLINK("./new_k5/query_cmdrels_weight_analyze/0.3_0.5_0.2/au_151941.xlsx","au_151941")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HYPERLINK("./new_k5/query_cmdrels_weight_analyze/0.3_0.5_0.2/au_152297.xlsx","au_152297")</f>
        <v>au_152297</v>
      </c>
      <c r="B36">
        <v>0</v>
      </c>
      <c r="C36">
        <v>0</v>
      </c>
      <c r="D36">
        <v>7.1428571428571425E-2</v>
      </c>
      <c r="E36">
        <v>0.16666666666666671</v>
      </c>
      <c r="F36">
        <v>7.1428571428571425E-2</v>
      </c>
      <c r="G36">
        <v>0.25238095238095237</v>
      </c>
    </row>
    <row r="37" spans="1:7" x14ac:dyDescent="0.15">
      <c r="A37" t="str">
        <f>HYPERLINK("./new_k5/query_cmdrels_weight_analyze/0.3_0.5_0.2/au_153976.xlsx","au_153976")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0.16666666666666671</v>
      </c>
      <c r="F37">
        <v>0.33333333333333331</v>
      </c>
      <c r="G37">
        <v>0.35</v>
      </c>
    </row>
    <row r="38" spans="1:7" x14ac:dyDescent="0.15">
      <c r="A38" t="str">
        <f>HYPERLINK("./new_k5/query_cmdrels_weight_analyze/0.3_0.5_0.2/au_154431.xlsx","au_154431")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HYPERLINK("./new_k5/query_cmdrels_weight_analyze/0.3_0.5_0.2/au_159708.xlsx","au_159708")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0.33333333333333331</v>
      </c>
      <c r="F39">
        <v>0.33333333333333331</v>
      </c>
      <c r="G39">
        <v>0.5</v>
      </c>
    </row>
    <row r="40" spans="1:7" x14ac:dyDescent="0.15">
      <c r="A40" t="str">
        <f>HYPERLINK("./new_k5/query_cmdrels_weight_analyze/0.3_0.5_0.2/au_160869.xlsx","au_160869")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HYPERLINK("./new_k5/query_cmdrels_weight_analyze/0.3_0.5_0.2/au_161313.xlsx","au_161313")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0.125</v>
      </c>
    </row>
    <row r="42" spans="1:7" x14ac:dyDescent="0.15">
      <c r="A42" t="str">
        <f>HYPERLINK("./new_k5/query_cmdrels_weight_analyze/0.3_0.5_0.2/au_162075.xlsx","au_162075")</f>
        <v>au_162075</v>
      </c>
      <c r="B42">
        <v>0.25</v>
      </c>
      <c r="C42">
        <v>0.25</v>
      </c>
      <c r="D42">
        <v>0.5</v>
      </c>
      <c r="E42">
        <v>0.5</v>
      </c>
      <c r="F42">
        <v>0.5</v>
      </c>
      <c r="G42">
        <v>0.5</v>
      </c>
    </row>
    <row r="43" spans="1:7" x14ac:dyDescent="0.15">
      <c r="A43" t="str">
        <f>HYPERLINK("./new_k5/query_cmdrels_weight_analyze/0.3_0.5_0.2/au_16277.xlsx","au_16277")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0.83333333333333337</v>
      </c>
    </row>
    <row r="44" spans="1:7" x14ac:dyDescent="0.15">
      <c r="A44" t="str">
        <f>HYPERLINK("./new_k5/query_cmdrels_weight_analyze/0.3_0.5_0.2/au_163155.xlsx","au_163155")</f>
        <v>au_163155</v>
      </c>
      <c r="B44">
        <v>0.125</v>
      </c>
      <c r="C44">
        <v>0.125</v>
      </c>
      <c r="D44">
        <v>0.375</v>
      </c>
      <c r="E44">
        <v>0.20833333333333329</v>
      </c>
      <c r="F44">
        <v>0.5</v>
      </c>
      <c r="G44">
        <v>0.40208333333333329</v>
      </c>
    </row>
    <row r="45" spans="1:7" x14ac:dyDescent="0.15">
      <c r="A45" t="str">
        <f>HYPERLINK("./new_k5/query_cmdrels_weight_analyze/0.3_0.5_0.2/au_164473.xlsx","au_164473")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HYPERLINK("./new_k5/query_cmdrels_weight_analyze/0.3_0.5_0.2/au_16584.xlsx","au_16584")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0.15151515151515149</v>
      </c>
      <c r="F46">
        <v>0.13636363636363641</v>
      </c>
      <c r="G46">
        <v>0.2196969696969697</v>
      </c>
    </row>
    <row r="47" spans="1:7" x14ac:dyDescent="0.15">
      <c r="A47" t="str">
        <f>HYPERLINK("./new_k5/query_cmdrels_weight_analyze/0.3_0.5_0.2/au_166420.xlsx","au_166420")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HYPERLINK("./new_k5/query_cmdrels_weight_analyze/0.3_0.5_0.2/au_169473.xlsx","au_169473")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0.33333333333333331</v>
      </c>
      <c r="F48">
        <v>0.43333333333333329</v>
      </c>
      <c r="G48">
        <v>0.33333333333333331</v>
      </c>
    </row>
    <row r="49" spans="1:7" x14ac:dyDescent="0.15">
      <c r="A49" t="str">
        <f>HYPERLINK("./new_k5/query_cmdrels_weight_analyze/0.3_0.5_0.2/au_169516.xlsx","au_169516")</f>
        <v>au_169516</v>
      </c>
      <c r="B49">
        <v>0.25</v>
      </c>
      <c r="C49">
        <v>0.25</v>
      </c>
      <c r="D49">
        <v>0.25</v>
      </c>
      <c r="E49">
        <v>0.41666666666666657</v>
      </c>
      <c r="F49">
        <v>0.25</v>
      </c>
      <c r="G49">
        <v>0.41666666666666657</v>
      </c>
    </row>
    <row r="50" spans="1:7" x14ac:dyDescent="0.15">
      <c r="A50" t="str">
        <f>HYPERLINK("./new_k5/query_cmdrels_weight_analyze/0.3_0.5_0.2/au_174292.xlsx","au_174292")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HYPERLINK("./new_k5/query_cmdrels_weight_analyze/0.3_0.5_0.2/au_178481.xlsx","au_178481")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HYPERLINK("./new_k5/query_cmdrels_weight_analyze/0.3_0.5_0.2/au_180925.xlsx","au_180925")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HYPERLINK("./new_k5/query_cmdrels_weight_analyze/0.3_0.5_0.2/au_187888.xlsx","au_187888")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HYPERLINK("./new_k5/query_cmdrels_weight_analyze/0.3_0.5_0.2/au_191390.xlsx","au_191390")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HYPERLINK("./new_k5/query_cmdrels_weight_analyze/0.3_0.5_0.2/au_192798.xlsx","au_192798")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HYPERLINK("./new_k5/query_cmdrels_weight_analyze/0.3_0.5_0.2/au_201775.xlsx","au_201775")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0.33333333333333331</v>
      </c>
      <c r="F56">
        <v>0.66666666666666663</v>
      </c>
      <c r="G56">
        <v>0.70000000000000007</v>
      </c>
    </row>
    <row r="57" spans="1:7" x14ac:dyDescent="0.15">
      <c r="A57" t="str">
        <f>HYPERLINK("./new_k5/query_cmdrels_weight_analyze/0.3_0.5_0.2/au_204166.xlsx","au_204166")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HYPERLINK("./new_k5/query_cmdrels_weight_analyze/0.3_0.5_0.2/au_207447.xlsx","au_207447")</f>
        <v>au_207447</v>
      </c>
      <c r="B58">
        <v>0.33333333333333331</v>
      </c>
      <c r="C58">
        <v>0</v>
      </c>
      <c r="D58">
        <v>0.33333333333333331</v>
      </c>
      <c r="E58">
        <v>0</v>
      </c>
      <c r="F58">
        <v>0.33333333333333331</v>
      </c>
      <c r="G58">
        <v>0</v>
      </c>
    </row>
    <row r="59" spans="1:7" x14ac:dyDescent="0.15">
      <c r="A59" t="str">
        <f>HYPERLINK("./new_k5/query_cmdrels_weight_analyze/0.3_0.5_0.2/au_210680.xlsx","au_210680")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HYPERLINK("./new_k5/query_cmdrels_weight_analyze/0.3_0.5_0.2/au_214246.xlsx","au_214246")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HYPERLINK("./new_k5/query_cmdrels_weight_analyze/0.3_0.5_0.2/au_214643.xlsx","au_214643")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HYPERLINK("./new_k5/query_cmdrels_weight_analyze/0.3_0.5_0.2/au_2194.xlsx","au_2194")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HYPERLINK("./new_k5/query_cmdrels_weight_analyze/0.3_0.5_0.2/au_221962.xlsx","au_221962")</f>
        <v>au_221962</v>
      </c>
      <c r="B63">
        <v>0</v>
      </c>
      <c r="C63">
        <v>0</v>
      </c>
      <c r="D63">
        <v>5.5555555555555552E-2</v>
      </c>
      <c r="E63">
        <v>5.5555555555555552E-2</v>
      </c>
      <c r="F63">
        <v>0.1388888888888889</v>
      </c>
      <c r="G63">
        <v>0.23888888888888879</v>
      </c>
    </row>
    <row r="64" spans="1:7" x14ac:dyDescent="0.15">
      <c r="A64" t="str">
        <f>HYPERLINK("./new_k5/query_cmdrels_weight_analyze/0.3_0.5_0.2/au_22608.xlsx","au_22608")</f>
        <v>au_22608</v>
      </c>
      <c r="B64">
        <v>0.33333333333333331</v>
      </c>
      <c r="C64">
        <v>0</v>
      </c>
      <c r="D64">
        <v>0.33333333333333331</v>
      </c>
      <c r="E64">
        <v>0.16666666666666671</v>
      </c>
      <c r="F64">
        <v>0.33333333333333331</v>
      </c>
      <c r="G64">
        <v>0.33333333333333331</v>
      </c>
    </row>
    <row r="65" spans="1:7" x14ac:dyDescent="0.15">
      <c r="A65" t="str">
        <f>HYPERLINK("./new_k5/query_cmdrels_weight_analyze/0.3_0.5_0.2/au_230698.xlsx","au_230698")</f>
        <v>au_230698</v>
      </c>
      <c r="B65">
        <v>0.125</v>
      </c>
      <c r="C65">
        <v>0.125</v>
      </c>
      <c r="D65">
        <v>0.25</v>
      </c>
      <c r="E65">
        <v>0.20833333333333329</v>
      </c>
      <c r="F65">
        <v>0.32500000000000001</v>
      </c>
      <c r="G65">
        <v>0.30208333333333331</v>
      </c>
    </row>
    <row r="66" spans="1:7" x14ac:dyDescent="0.15">
      <c r="A66" t="str">
        <f>HYPERLINK("./new_k5/query_cmdrels_weight_analyze/0.3_0.5_0.2/au_232442.xlsx","au_232442")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HYPERLINK("./new_k5/query_cmdrels_weight_analyze/0.3_0.5_0.2/au_233378.xlsx","au_233378")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HYPERLINK("./new_k5/query_cmdrels_weight_analyze/0.3_0.5_0.2/au_24027.xlsx","au_24027")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HYPERLINK("./new_k5/query_cmdrels_weight_analyze/0.3_0.5_0.2/au_246647.xlsx","au_246647")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HYPERLINK("./new_k5/query_cmdrels_weight_analyze/0.3_0.5_0.2/au_254424.xlsx","au_254424")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HYPERLINK("./new_k5/query_cmdrels_weight_analyze/0.3_0.5_0.2/au_255890.xlsx","au_255890")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HYPERLINK("./new_k5/query_cmdrels_weight_analyze/0.3_0.5_0.2/au_257248.xlsx","au_257248")</f>
        <v>au_257248</v>
      </c>
      <c r="B72">
        <v>0</v>
      </c>
      <c r="C72">
        <v>0.14285714285714279</v>
      </c>
      <c r="D72">
        <v>0.16666666666666671</v>
      </c>
      <c r="E72">
        <v>0.23809523809523811</v>
      </c>
      <c r="F72">
        <v>0.25238095238095237</v>
      </c>
      <c r="G72">
        <v>0.32380952380952382</v>
      </c>
    </row>
    <row r="73" spans="1:7" x14ac:dyDescent="0.15">
      <c r="A73" t="str">
        <f>HYPERLINK("./new_k5/query_cmdrels_weight_analyze/0.3_0.5_0.2/au_259354.xlsx","au_259354")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0.42857142857142849</v>
      </c>
    </row>
    <row r="74" spans="1:7" x14ac:dyDescent="0.15">
      <c r="A74" t="str">
        <f>HYPERLINK("./new_k5/query_cmdrels_weight_analyze/0.3_0.5_0.2/au_263378.xlsx","au_263378")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0.47499999999999998</v>
      </c>
    </row>
    <row r="75" spans="1:7" x14ac:dyDescent="0.15">
      <c r="A75" t="str">
        <f>HYPERLINK("./new_k5/query_cmdrels_weight_analyze/0.3_0.5_0.2/au_264215.xlsx","au_264215")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HYPERLINK("./new_k5/query_cmdrels_weight_analyze/0.3_0.5_0.2/au_265176.xlsx","au_265176")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HYPERLINK("./new_k5/query_cmdrels_weight_analyze/0.3_0.5_0.2/au_275704.xlsx","au_275704")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HYPERLINK("./new_k5/query_cmdrels_weight_analyze/0.3_0.5_0.2/au_276669.xlsx","au_276669")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HYPERLINK("./new_k5/query_cmdrels_weight_analyze/0.3_0.5_0.2/au_277565.xlsx","au_277565")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HYPERLINK("./new_k5/query_cmdrels_weight_analyze/0.3_0.5_0.2/au_278403.xlsx","au_278403")</f>
        <v>au_278403</v>
      </c>
      <c r="B80">
        <v>0</v>
      </c>
      <c r="C80">
        <v>0.25</v>
      </c>
      <c r="D80">
        <v>8.3333333333333329E-2</v>
      </c>
      <c r="E80">
        <v>0.25</v>
      </c>
      <c r="F80">
        <v>0.20833333333333329</v>
      </c>
      <c r="G80">
        <v>0.375</v>
      </c>
    </row>
    <row r="81" spans="1:7" x14ac:dyDescent="0.15">
      <c r="A81" t="str">
        <f>HYPERLINK("./new_k5/query_cmdrels_weight_analyze/0.3_0.5_0.2/au_28039.xlsx","au_28039")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HYPERLINK("./new_k5/query_cmdrels_weight_analyze/0.3_0.5_0.2/au_281509.xlsx","au_281509")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HYPERLINK("./new_k5/query_cmdrels_weight_analyze/0.3_0.5_0.2/au_282806.xlsx","au_282806")</f>
        <v>au_282806</v>
      </c>
      <c r="B83">
        <v>0</v>
      </c>
      <c r="C83">
        <v>0.33333333333333331</v>
      </c>
      <c r="D83">
        <v>0.38888888888888878</v>
      </c>
      <c r="E83">
        <v>0.55555555555555547</v>
      </c>
      <c r="F83">
        <v>0.38888888888888878</v>
      </c>
      <c r="G83">
        <v>0.80555555555555547</v>
      </c>
    </row>
    <row r="84" spans="1:7" x14ac:dyDescent="0.15">
      <c r="A84" t="str">
        <f>HYPERLINK("./new_k5/query_cmdrels_weight_analyze/0.3_0.5_0.2/au_283559.xlsx","au_283559")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HYPERLINK("./new_k5/query_cmdrels_weight_analyze/0.3_0.5_0.2/au_285539.xlsx","au_285539")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HYPERLINK("./new_k5/query_cmdrels_weight_analyze/0.3_0.5_0.2/au_287532.xlsx","au_287532")</f>
        <v>au_287532</v>
      </c>
      <c r="B86">
        <v>0</v>
      </c>
      <c r="C86">
        <v>0</v>
      </c>
      <c r="D86">
        <v>0</v>
      </c>
      <c r="E86">
        <v>0.29166666666666657</v>
      </c>
      <c r="F86">
        <v>0</v>
      </c>
      <c r="G86">
        <v>0.29166666666666657</v>
      </c>
    </row>
    <row r="87" spans="1:7" x14ac:dyDescent="0.15">
      <c r="A87" t="str">
        <f>HYPERLINK("./new_k5/query_cmdrels_weight_analyze/0.3_0.5_0.2/au_294257.xlsx","au_294257")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HYPERLINK("./new_k5/query_cmdrels_weight_analyze/0.3_0.5_0.2/au_296155.xlsx","au_296155")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HYPERLINK("./new_k5/query_cmdrels_weight_analyze/0.3_0.5_0.2/au_299975.xlsx","au_299975")</f>
        <v>au_299975</v>
      </c>
      <c r="B89">
        <v>0.25</v>
      </c>
      <c r="C89">
        <v>0</v>
      </c>
      <c r="D89">
        <v>0.5</v>
      </c>
      <c r="E89">
        <v>0.125</v>
      </c>
      <c r="F89">
        <v>0.6875</v>
      </c>
      <c r="G89">
        <v>0.25</v>
      </c>
    </row>
    <row r="90" spans="1:7" x14ac:dyDescent="0.15">
      <c r="A90" t="str">
        <f>HYPERLINK("./new_k5/query_cmdrels_weight_analyze/0.3_0.5_0.2/au_301096.xlsx","au_301096")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HYPERLINK("./new_k5/query_cmdrels_weight_analyze/0.3_0.5_0.2/au_303593.xlsx","au_303593")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HYPERLINK("./new_k5/query_cmdrels_weight_analyze/0.3_0.5_0.2/au_303849.xlsx","au_303849")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HYPERLINK("./new_k5/query_cmdrels_weight_analyze/0.3_0.5_0.2/au_307541.xlsx","au_307541")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HYPERLINK("./new_k5/query_cmdrels_weight_analyze/0.3_0.5_0.2/au_307688.xlsx","au_307688")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HYPERLINK("./new_k5/query_cmdrels_weight_analyze/0.3_0.5_0.2/au_309047.xlsx","au_309047")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HYPERLINK("./new_k5/query_cmdrels_weight_analyze/0.3_0.5_0.2/au_311558.xlsx","au_311558")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0.41666666666666657</v>
      </c>
    </row>
    <row r="97" spans="1:7" x14ac:dyDescent="0.15">
      <c r="A97" t="str">
        <f>HYPERLINK("./new_k5/query_cmdrels_weight_analyze/0.3_0.5_0.2/au_318973.xlsx","au_318973")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HYPERLINK("./new_k5/query_cmdrels_weight_analyze/0.3_0.5_0.2/au_3205.xlsx","au_3205")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HYPERLINK("./new_k5/query_cmdrels_weight_analyze/0.3_0.5_0.2/au_323131.xlsx","au_323131")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HYPERLINK("./new_k5/query_cmdrels_weight_analyze/0.3_0.5_0.2/au_323392.xlsx","au_323392")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HYPERLINK("./new_k5/query_cmdrels_weight_analyze/0.3_0.5_0.2/au_325368.xlsx","au_325368")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HYPERLINK("./new_k5/query_cmdrels_weight_analyze/0.3_0.5_0.2/au_328162.xlsx","au_328162")</f>
        <v>au_328162</v>
      </c>
      <c r="B102">
        <v>0.33333333333333331</v>
      </c>
      <c r="C102">
        <v>0.33333333333333331</v>
      </c>
      <c r="D102">
        <v>1</v>
      </c>
      <c r="E102">
        <v>0.33333333333333331</v>
      </c>
      <c r="F102">
        <v>1</v>
      </c>
      <c r="G102">
        <v>0.5</v>
      </c>
    </row>
    <row r="103" spans="1:7" x14ac:dyDescent="0.15">
      <c r="A103" t="str">
        <f>HYPERLINK("./new_k5/query_cmdrels_weight_analyze/0.3_0.5_0.2/au_330148.xlsx","au_330148")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HYPERLINK("./new_k5/query_cmdrels_weight_analyze/0.3_0.5_0.2/au_332315.xlsx","au_332315")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HYPERLINK("./new_k5/query_cmdrels_weight_analyze/0.3_0.5_0.2/au_334081.xlsx","au_334081")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HYPERLINK("./new_k5/query_cmdrels_weight_analyze/0.3_0.5_0.2/au_34077.xlsx","au_34077")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0.5</v>
      </c>
      <c r="F106">
        <v>0.33333333333333331</v>
      </c>
      <c r="G106">
        <v>0.6333333333333333</v>
      </c>
    </row>
    <row r="107" spans="1:7" x14ac:dyDescent="0.15">
      <c r="A107" t="str">
        <f>HYPERLINK("./new_k5/query_cmdrels_weight_analyze/0.3_0.5_0.2/au_341428.xlsx","au_341428")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HYPERLINK("./new_k5/query_cmdrels_weight_analyze/0.3_0.5_0.2/au_341584.xlsx","au_341584")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HYPERLINK("./new_k5/query_cmdrels_weight_analyze/0.3_0.5_0.2/au_346864.xlsx","au_346864")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0.14285714285714279</v>
      </c>
      <c r="F109">
        <v>0.23809523809523811</v>
      </c>
      <c r="G109">
        <v>0.2142857142857143</v>
      </c>
    </row>
    <row r="110" spans="1:7" x14ac:dyDescent="0.15">
      <c r="A110" t="str">
        <f>HYPERLINK("./new_k5/query_cmdrels_weight_analyze/0.3_0.5_0.2/au_351765.xlsx","au_351765")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0.5</v>
      </c>
    </row>
    <row r="111" spans="1:7" x14ac:dyDescent="0.15">
      <c r="A111" t="str">
        <f>HYPERLINK("./new_k5/query_cmdrels_weight_analyze/0.3_0.5_0.2/au_35922.xlsx","au_35922")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HYPERLINK("./new_k5/query_cmdrels_weight_analyze/0.3_0.5_0.2/au_359856.xlsx","au_359856")</f>
        <v>au_359856</v>
      </c>
      <c r="B112">
        <v>0.25</v>
      </c>
      <c r="C112">
        <v>0.25</v>
      </c>
      <c r="D112">
        <v>0.75</v>
      </c>
      <c r="E112">
        <v>0.25</v>
      </c>
      <c r="F112">
        <v>0.95</v>
      </c>
      <c r="G112">
        <v>0.375</v>
      </c>
    </row>
    <row r="113" spans="1:7" x14ac:dyDescent="0.15">
      <c r="A113" t="str">
        <f>HYPERLINK("./new_k5/query_cmdrels_weight_analyze/0.3_0.5_0.2/au_360423.xlsx","au_360423")</f>
        <v>au_360423</v>
      </c>
      <c r="B113">
        <v>0</v>
      </c>
      <c r="C113">
        <v>0</v>
      </c>
      <c r="D113">
        <v>0</v>
      </c>
      <c r="E113">
        <v>0.25</v>
      </c>
      <c r="F113">
        <v>0</v>
      </c>
      <c r="G113">
        <v>0.25</v>
      </c>
    </row>
    <row r="114" spans="1:7" x14ac:dyDescent="0.15">
      <c r="A114" t="str">
        <f>HYPERLINK("./new_k5/query_cmdrels_weight_analyze/0.3_0.5_0.2/au_36287.xlsx","au_36287")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HYPERLINK("./new_k5/query_cmdrels_weight_analyze/0.3_0.5_0.2/au_366742.xlsx","au_366742")</f>
        <v>au_366742</v>
      </c>
      <c r="B115">
        <v>0</v>
      </c>
      <c r="C115">
        <v>0</v>
      </c>
      <c r="D115">
        <v>0</v>
      </c>
      <c r="E115">
        <v>0.125</v>
      </c>
      <c r="F115">
        <v>0</v>
      </c>
      <c r="G115">
        <v>0.22500000000000001</v>
      </c>
    </row>
    <row r="116" spans="1:7" x14ac:dyDescent="0.15">
      <c r="A116" t="str">
        <f>HYPERLINK("./new_k5/query_cmdrels_weight_analyze/0.3_0.5_0.2/au_377937.xlsx","au_377937")</f>
        <v>au_377937</v>
      </c>
      <c r="B116">
        <v>0.25</v>
      </c>
      <c r="C116">
        <v>0.25</v>
      </c>
      <c r="D116">
        <v>0.5</v>
      </c>
      <c r="E116">
        <v>0.5</v>
      </c>
      <c r="F116">
        <v>0.5</v>
      </c>
      <c r="G116">
        <v>0.6875</v>
      </c>
    </row>
    <row r="117" spans="1:7" x14ac:dyDescent="0.15">
      <c r="A117" t="str">
        <f>HYPERLINK("./new_k5/query_cmdrels_weight_analyze/0.3_0.5_0.2/au_383997.xlsx","au_383997")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0.37142857142857139</v>
      </c>
    </row>
    <row r="118" spans="1:7" x14ac:dyDescent="0.15">
      <c r="A118" t="str">
        <f>HYPERLINK("./new_k5/query_cmdrels_weight_analyze/0.3_0.5_0.2/au_3883.xlsx","au_3883")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0.35</v>
      </c>
    </row>
    <row r="119" spans="1:7" x14ac:dyDescent="0.15">
      <c r="A119" t="str">
        <f>HYPERLINK("./new_k5/query_cmdrels_weight_analyze/0.3_0.5_0.2/au_396883.xlsx","au_396883")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HYPERLINK("./new_k5/query_cmdrels_weight_analyze/0.3_0.5_0.2/au_39760.xlsx","au_39760")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HYPERLINK("./new_k5/query_cmdrels_weight_analyze/0.3_0.5_0.2/au_398818.xlsx","au_398818")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HYPERLINK("./new_k5/query_cmdrels_weight_analyze/0.3_0.5_0.2/au_400807.xlsx","au_400807")</f>
        <v>au_400807</v>
      </c>
      <c r="B122">
        <v>0</v>
      </c>
      <c r="C122">
        <v>0.33333333333333331</v>
      </c>
      <c r="D122">
        <v>0.16666666666666671</v>
      </c>
      <c r="E122">
        <v>0.55555555555555547</v>
      </c>
      <c r="F122">
        <v>0.16666666666666671</v>
      </c>
      <c r="G122">
        <v>0.75555555555555554</v>
      </c>
    </row>
    <row r="123" spans="1:7" x14ac:dyDescent="0.15">
      <c r="A123" t="str">
        <f>HYPERLINK("./new_k5/query_cmdrels_weight_analyze/0.3_0.5_0.2/au_408611.xlsx","au_408611")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HYPERLINK("./new_k5/query_cmdrels_weight_analyze/0.3_0.5_0.2/au_414737.xlsx","au_414737")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HYPERLINK("./new_k5/query_cmdrels_weight_analyze/0.3_0.5_0.2/au_420722.xlsx","au_420722")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HYPERLINK("./new_k5/query_cmdrels_weight_analyze/0.3_0.5_0.2/au_423942.xlsx","au_423942")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HYPERLINK("./new_k5/query_cmdrels_weight_analyze/0.3_0.5_0.2/au_430382.xlsx","au_430382")</f>
        <v>au_430382</v>
      </c>
      <c r="B127">
        <v>0</v>
      </c>
      <c r="C127">
        <v>0.25</v>
      </c>
      <c r="D127">
        <v>0.29166666666666657</v>
      </c>
      <c r="E127">
        <v>0.5</v>
      </c>
      <c r="F127">
        <v>0.29166666666666657</v>
      </c>
      <c r="G127">
        <v>0.5</v>
      </c>
    </row>
    <row r="128" spans="1:7" x14ac:dyDescent="0.15">
      <c r="A128" t="str">
        <f>HYPERLINK("./new_k5/query_cmdrels_weight_analyze/0.3_0.5_0.2/au_432836.xlsx","au_432836")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HYPERLINK("./new_k5/query_cmdrels_weight_analyze/0.3_0.5_0.2/au_440326.xlsx","au_440326")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HYPERLINK("./new_k5/query_cmdrels_weight_analyze/0.3_0.5_0.2/au_442914.xlsx","au_442914")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HYPERLINK("./new_k5/query_cmdrels_weight_analyze/0.3_0.5_0.2/au_443227.xlsx","au_443227")</f>
        <v>au_443227</v>
      </c>
      <c r="B131">
        <v>0.5</v>
      </c>
      <c r="C131">
        <v>0</v>
      </c>
      <c r="D131">
        <v>0.5</v>
      </c>
      <c r="E131">
        <v>0</v>
      </c>
      <c r="F131">
        <v>0.5</v>
      </c>
      <c r="G131">
        <v>0.1</v>
      </c>
    </row>
    <row r="132" spans="1:7" x14ac:dyDescent="0.15">
      <c r="A132" t="str">
        <f>HYPERLINK("./new_k5/query_cmdrels_weight_analyze/0.3_0.5_0.2/au_44534.xlsx","au_44534")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HYPERLINK("./new_k5/query_cmdrels_weight_analyze/0.3_0.5_0.2/au_451805.xlsx","au_451805")</f>
        <v>au_451805</v>
      </c>
      <c r="B133">
        <v>0.33333333333333331</v>
      </c>
      <c r="C133">
        <v>0.33333333333333331</v>
      </c>
      <c r="D133">
        <v>0.33333333333333331</v>
      </c>
      <c r="E133">
        <v>0.33333333333333331</v>
      </c>
      <c r="F133">
        <v>0.33333333333333331</v>
      </c>
      <c r="G133">
        <v>0.33333333333333331</v>
      </c>
    </row>
    <row r="134" spans="1:7" x14ac:dyDescent="0.15">
      <c r="A134" t="str">
        <f>HYPERLINK("./new_k5/query_cmdrels_weight_analyze/0.3_0.5_0.2/au_464264.xlsx","au_464264")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0.16666666666666671</v>
      </c>
    </row>
    <row r="135" spans="1:7" x14ac:dyDescent="0.15">
      <c r="A135" t="str">
        <f>HYPERLINK("./new_k5/query_cmdrels_weight_analyze/0.3_0.5_0.2/au_468808.xlsx","au_468808")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HYPERLINK("./new_k5/query_cmdrels_weight_analyze/0.3_0.5_0.2/au_469143.xlsx","au_469143")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HYPERLINK("./new_k5/query_cmdrels_weight_analyze/0.3_0.5_0.2/au_470237.xlsx","au_470237")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HYPERLINK("./new_k5/query_cmdrels_weight_analyze/0.3_0.5_0.2/au_473037.xlsx","au_473037")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0.1</v>
      </c>
    </row>
    <row r="139" spans="1:7" x14ac:dyDescent="0.15">
      <c r="A139" t="str">
        <f>HYPERLINK("./new_k5/query_cmdrels_weight_analyze/0.3_0.5_0.2/au_48362.xlsx","au_48362")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HYPERLINK("./new_k5/query_cmdrels_weight_analyze/0.3_0.5_0.2/au_488435.xlsx","au_488435")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HYPERLINK("./new_k5/query_cmdrels_weight_analyze/0.3_0.5_0.2/au_493826.xlsx","au_493826")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HYPERLINK("./new_k5/query_cmdrels_weight_analyze/0.3_0.5_0.2/au_502110.xlsx","au_502110")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HYPERLINK("./new_k5/query_cmdrels_weight_analyze/0.3_0.5_0.2/au_50344.xlsx","au_50344")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HYPERLINK("./new_k5/query_cmdrels_weight_analyze/0.3_0.5_0.2/au_511467.xlsx","au_511467")</f>
        <v>au_511467</v>
      </c>
      <c r="B144">
        <v>0</v>
      </c>
      <c r="C144">
        <v>0.16666666666666671</v>
      </c>
      <c r="D144">
        <v>0.19444444444444439</v>
      </c>
      <c r="E144">
        <v>0.33333333333333331</v>
      </c>
      <c r="F144">
        <v>0.19444444444444439</v>
      </c>
      <c r="G144">
        <v>0.45833333333333331</v>
      </c>
    </row>
    <row r="145" spans="1:7" x14ac:dyDescent="0.15">
      <c r="A145" t="str">
        <f>HYPERLINK("./new_k5/query_cmdrels_weight_analyze/0.3_0.5_0.2/au_513046.xlsx","au_513046")</f>
        <v>au_513046</v>
      </c>
      <c r="B145">
        <v>0.25</v>
      </c>
      <c r="C145">
        <v>0</v>
      </c>
      <c r="D145">
        <v>0.5</v>
      </c>
      <c r="E145">
        <v>8.3333333333333329E-2</v>
      </c>
      <c r="F145">
        <v>0.5</v>
      </c>
      <c r="G145">
        <v>0.35833333333333328</v>
      </c>
    </row>
    <row r="146" spans="1:7" x14ac:dyDescent="0.15">
      <c r="A146" t="str">
        <f>HYPERLINK("./new_k5/query_cmdrels_weight_analyze/0.3_0.5_0.2/au_517354.xlsx","au_517354")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0.34523809523809518</v>
      </c>
    </row>
    <row r="147" spans="1:7" x14ac:dyDescent="0.15">
      <c r="A147" t="str">
        <f>HYPERLINK("./new_k5/query_cmdrels_weight_analyze/0.3_0.5_0.2/au_522431.xlsx","au_522431")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0.3833333333333333</v>
      </c>
    </row>
    <row r="148" spans="1:7" x14ac:dyDescent="0.15">
      <c r="A148" t="str">
        <f>HYPERLINK("./new_k5/query_cmdrels_weight_analyze/0.3_0.5_0.2/au_52773.xlsx","au_52773")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0.05</v>
      </c>
    </row>
    <row r="149" spans="1:7" x14ac:dyDescent="0.15">
      <c r="A149" t="str">
        <f>HYPERLINK("./new_k5/query_cmdrels_weight_analyze/0.3_0.5_0.2/au_528411.xlsx","au_528411")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HYPERLINK("./new_k5/query_cmdrels_weight_analyze/0.3_0.5_0.2/au_53263.xlsx","au_53263")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1</v>
      </c>
    </row>
    <row r="151" spans="1:7" x14ac:dyDescent="0.15">
      <c r="A151" t="str">
        <f>HYPERLINK("./new_k5/query_cmdrels_weight_analyze/0.3_0.5_0.2/au_53444.xlsx","au_53444")</f>
        <v>au_53444</v>
      </c>
      <c r="B151">
        <v>0.5</v>
      </c>
      <c r="C151">
        <v>0</v>
      </c>
      <c r="D151">
        <v>0.5</v>
      </c>
      <c r="E151">
        <v>0.16666666666666671</v>
      </c>
      <c r="F151">
        <v>0.5</v>
      </c>
      <c r="G151">
        <v>0.16666666666666671</v>
      </c>
    </row>
    <row r="152" spans="1:7" x14ac:dyDescent="0.15">
      <c r="A152" t="str">
        <f>HYPERLINK("./new_k5/query_cmdrels_weight_analyze/0.3_0.5_0.2/au_538208.xlsx","au_538208")</f>
        <v>au_538208</v>
      </c>
      <c r="B152">
        <v>0.125</v>
      </c>
      <c r="C152">
        <v>0.125</v>
      </c>
      <c r="D152">
        <v>0.375</v>
      </c>
      <c r="E152">
        <v>0.25</v>
      </c>
      <c r="F152">
        <v>0.5</v>
      </c>
      <c r="G152">
        <v>0.44374999999999998</v>
      </c>
    </row>
    <row r="153" spans="1:7" x14ac:dyDescent="0.15">
      <c r="A153" t="str">
        <f>HYPERLINK("./new_k5/query_cmdrels_weight_analyze/0.3_0.5_0.2/au_53822.xlsx","au_53822")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HYPERLINK("./new_k5/query_cmdrels_weight_analyze/0.3_0.5_0.2/au_539243.xlsx","au_539243")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</v>
      </c>
    </row>
    <row r="155" spans="1:7" x14ac:dyDescent="0.15">
      <c r="A155" t="str">
        <f>HYPERLINK("./new_k5/query_cmdrels_weight_analyze/0.3_0.5_0.2/au_558280.xlsx","au_558280")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HYPERLINK("./new_k5/query_cmdrels_weight_analyze/0.3_0.5_0.2/au_558669.xlsx","au_558669")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HYPERLINK("./new_k5/query_cmdrels_weight_analyze/0.3_0.5_0.2/au_55868.xlsx","au_55868")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HYPERLINK("./new_k5/query_cmdrels_weight_analyze/0.3_0.5_0.2/au_561.xlsx","au_561")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0.65</v>
      </c>
    </row>
    <row r="159" spans="1:7" x14ac:dyDescent="0.15">
      <c r="A159" t="str">
        <f>HYPERLINK("./new_k5/query_cmdrels_weight_analyze/0.3_0.5_0.2/au_564567.xlsx","au_564567")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HYPERLINK("./new_k5/query_cmdrels_weight_analyze/0.3_0.5_0.2/au_57994.xlsx","au_57994")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0.5714285714285714</v>
      </c>
    </row>
    <row r="161" spans="1:7" x14ac:dyDescent="0.15">
      <c r="A161" t="str">
        <f>HYPERLINK("./new_k5/query_cmdrels_weight_analyze/0.3_0.5_0.2/au_589210.xlsx","au_589210")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0.35</v>
      </c>
    </row>
    <row r="162" spans="1:7" x14ac:dyDescent="0.15">
      <c r="A162" t="str">
        <f>HYPERLINK("./new_k5/query_cmdrels_weight_analyze/0.3_0.5_0.2/au_5911.xlsx","au_5911")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HYPERLINK("./new_k5/query_cmdrels_weight_analyze/0.3_0.5_0.2/au_59356.xlsx","au_59356")</f>
        <v>au_59356</v>
      </c>
      <c r="B163">
        <v>0</v>
      </c>
      <c r="C163">
        <v>0</v>
      </c>
      <c r="D163">
        <v>0.16666666666666671</v>
      </c>
      <c r="E163">
        <v>0</v>
      </c>
      <c r="F163">
        <v>0.16666666666666671</v>
      </c>
      <c r="G163">
        <v>0</v>
      </c>
    </row>
    <row r="164" spans="1:7" x14ac:dyDescent="0.15">
      <c r="A164" t="str">
        <f>HYPERLINK("./new_k5/query_cmdrels_weight_analyze/0.3_0.5_0.2/au_609850.xlsx","au_609850")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HYPERLINK("./new_k5/query_cmdrels_weight_analyze/0.3_0.5_0.2/au_61408.xlsx","au_61408")</f>
        <v>au_61408</v>
      </c>
      <c r="B165">
        <v>0</v>
      </c>
      <c r="C165">
        <v>0.33333333333333331</v>
      </c>
      <c r="D165">
        <v>0.16666666666666671</v>
      </c>
      <c r="E165">
        <v>0.33333333333333331</v>
      </c>
      <c r="F165">
        <v>0.16666666666666671</v>
      </c>
      <c r="G165">
        <v>0.33333333333333331</v>
      </c>
    </row>
    <row r="166" spans="1:7" x14ac:dyDescent="0.15">
      <c r="A166" t="str">
        <f>HYPERLINK("./new_k5/query_cmdrels_weight_analyze/0.3_0.5_0.2/au_617850.xlsx","au_617850")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HYPERLINK("./new_k5/query_cmdrels_weight_analyze/0.3_0.5_0.2/au_62073.xlsx","au_62073")</f>
        <v>au_62073</v>
      </c>
      <c r="B167">
        <v>0</v>
      </c>
      <c r="C167">
        <v>0.2</v>
      </c>
      <c r="D167">
        <v>0.23333333333333331</v>
      </c>
      <c r="E167">
        <v>0.33333333333333331</v>
      </c>
      <c r="F167">
        <v>0.23333333333333331</v>
      </c>
      <c r="G167">
        <v>0.48333333333333328</v>
      </c>
    </row>
    <row r="168" spans="1:7" x14ac:dyDescent="0.15">
      <c r="A168" t="str">
        <f>HYPERLINK("./new_k5/query_cmdrels_weight_analyze/0.3_0.5_0.2/au_620930.xlsx","au_620930")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0.45333333333333331</v>
      </c>
    </row>
    <row r="169" spans="1:7" x14ac:dyDescent="0.15">
      <c r="A169" t="str">
        <f>HYPERLINK("./new_k5/query_cmdrels_weight_analyze/0.3_0.5_0.2/au_62492.xlsx","au_62492")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HYPERLINK("./new_k5/query_cmdrels_weight_analyze/0.3_0.5_0.2/au_626078.xlsx","au_626078")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HYPERLINK("./new_k5/query_cmdrels_weight_analyze/0.3_0.5_0.2/au_636944.xlsx","au_636944")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HYPERLINK("./new_k5/query_cmdrels_weight_analyze/0.3_0.5_0.2/au_648603.xlsx","au_648603")</f>
        <v>au_648603</v>
      </c>
      <c r="B172">
        <v>0.25</v>
      </c>
      <c r="C172">
        <v>0.25</v>
      </c>
      <c r="D172">
        <v>0.25</v>
      </c>
      <c r="E172">
        <v>0.25</v>
      </c>
      <c r="F172">
        <v>0.25</v>
      </c>
      <c r="G172">
        <v>0.35</v>
      </c>
    </row>
    <row r="173" spans="1:7" x14ac:dyDescent="0.15">
      <c r="A173" t="str">
        <f>HYPERLINK("./new_k5/query_cmdrels_weight_analyze/0.3_0.5_0.2/au_65331.xlsx","au_65331")</f>
        <v>au_65331</v>
      </c>
      <c r="B173">
        <v>0</v>
      </c>
      <c r="C173">
        <v>0.16666666666666671</v>
      </c>
      <c r="D173">
        <v>8.3333333333333329E-2</v>
      </c>
      <c r="E173">
        <v>0.27777777777777768</v>
      </c>
      <c r="F173">
        <v>0.16666666666666671</v>
      </c>
      <c r="G173">
        <v>0.27777777777777768</v>
      </c>
    </row>
    <row r="174" spans="1:7" x14ac:dyDescent="0.15">
      <c r="A174" t="str">
        <f>HYPERLINK("./new_k5/query_cmdrels_weight_analyze/0.3_0.5_0.2/au_66000.xlsx","au_66000")</f>
        <v>au_66000</v>
      </c>
      <c r="B174">
        <v>0</v>
      </c>
      <c r="C174">
        <v>0</v>
      </c>
      <c r="D174">
        <v>0</v>
      </c>
      <c r="E174">
        <v>0.23333333333333331</v>
      </c>
      <c r="F174">
        <v>0</v>
      </c>
      <c r="G174">
        <v>0.54333333333333333</v>
      </c>
    </row>
    <row r="175" spans="1:7" x14ac:dyDescent="0.15">
      <c r="A175" t="str">
        <f>HYPERLINK("./new_k5/query_cmdrels_weight_analyze/0.3_0.5_0.2/au_660846.xlsx","au_660846")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HYPERLINK("./new_k5/query_cmdrels_weight_analyze/0.3_0.5_0.2/au_662935.xlsx","au_662935")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0.34375</v>
      </c>
    </row>
    <row r="177" spans="1:7" x14ac:dyDescent="0.15">
      <c r="A177" t="str">
        <f>HYPERLINK("./new_k5/query_cmdrels_weight_analyze/0.3_0.5_0.2/au_67663.xlsx","au_67663")</f>
        <v>au_67663</v>
      </c>
      <c r="B177">
        <v>0</v>
      </c>
      <c r="C177">
        <v>0.25</v>
      </c>
      <c r="D177">
        <v>0.29166666666666657</v>
      </c>
      <c r="E177">
        <v>0.75</v>
      </c>
      <c r="F177">
        <v>0.29166666666666657</v>
      </c>
      <c r="G177">
        <v>0.75</v>
      </c>
    </row>
    <row r="178" spans="1:7" x14ac:dyDescent="0.15">
      <c r="A178" t="str">
        <f>HYPERLINK("./new_k5/query_cmdrels_weight_analyze/0.3_0.5_0.2/au_68028.xlsx","au_68028")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0.42857142857142849</v>
      </c>
      <c r="F178">
        <v>0.37142857142857139</v>
      </c>
      <c r="G178">
        <v>0.42857142857142849</v>
      </c>
    </row>
    <row r="179" spans="1:7" x14ac:dyDescent="0.15">
      <c r="A179" t="str">
        <f>HYPERLINK("./new_k5/query_cmdrels_weight_analyze/0.3_0.5_0.2/au_681312.xlsx","au_681312")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0.23809523809523811</v>
      </c>
      <c r="F179">
        <v>0.42857142857142849</v>
      </c>
      <c r="G179">
        <v>0.34523809523809518</v>
      </c>
    </row>
    <row r="180" spans="1:7" x14ac:dyDescent="0.15">
      <c r="A180" t="str">
        <f>HYPERLINK("./new_k5/query_cmdrels_weight_analyze/0.3_0.5_0.2/au_686239.xlsx","au_686239")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HYPERLINK("./new_k5/query_cmdrels_weight_analyze/0.3_0.5_0.2/au_68809.xlsx","au_68809")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0.28333333333333333</v>
      </c>
    </row>
    <row r="182" spans="1:7" x14ac:dyDescent="0.15">
      <c r="A182" t="str">
        <f>HYPERLINK("./new_k5/query_cmdrels_weight_analyze/0.3_0.5_0.2/au_69556.xlsx","au_69556")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HYPERLINK("./new_k5/query_cmdrels_weight_analyze/0.3_0.5_0.2/au_698993.xlsx","au_698993")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HYPERLINK("./new_k5/query_cmdrels_weight_analyze/0.3_0.5_0.2/au_707881.xlsx","au_707881")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HYPERLINK("./new_k5/query_cmdrels_weight_analyze/0.3_0.5_0.2/au_709594.xlsx","au_709594")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HYPERLINK("./new_k5/query_cmdrels_weight_analyze/0.3_0.5_0.2/au_71309.xlsx","au_71309")</f>
        <v>au_71309</v>
      </c>
      <c r="B186">
        <v>0.125</v>
      </c>
      <c r="C186">
        <v>0.125</v>
      </c>
      <c r="D186">
        <v>0.20833333333333329</v>
      </c>
      <c r="E186">
        <v>0.375</v>
      </c>
      <c r="F186">
        <v>0.20833333333333329</v>
      </c>
      <c r="G186">
        <v>0.375</v>
      </c>
    </row>
    <row r="187" spans="1:7" x14ac:dyDescent="0.15">
      <c r="A187" t="str">
        <f>HYPERLINK("./new_k5/query_cmdrels_weight_analyze/0.3_0.5_0.2/au_7138.xlsx","au_7138")</f>
        <v>au_7138</v>
      </c>
      <c r="B187">
        <v>0.25</v>
      </c>
      <c r="C187">
        <v>0</v>
      </c>
      <c r="D187">
        <v>0.75</v>
      </c>
      <c r="E187">
        <v>0</v>
      </c>
      <c r="F187">
        <v>0.75</v>
      </c>
      <c r="G187">
        <v>6.25E-2</v>
      </c>
    </row>
    <row r="188" spans="1:7" x14ac:dyDescent="0.15">
      <c r="A188" t="str">
        <f>HYPERLINK("./new_k5/query_cmdrels_weight_analyze/0.3_0.5_0.2/au_72549.xlsx","au_72549")</f>
        <v>au_72549</v>
      </c>
      <c r="B188">
        <v>0</v>
      </c>
      <c r="C188">
        <v>0.25</v>
      </c>
      <c r="D188">
        <v>0</v>
      </c>
      <c r="E188">
        <v>0.25</v>
      </c>
      <c r="F188">
        <v>0</v>
      </c>
      <c r="G188">
        <v>0.25</v>
      </c>
    </row>
    <row r="189" spans="1:7" x14ac:dyDescent="0.15">
      <c r="A189" t="str">
        <f>HYPERLINK("./new_k5/query_cmdrels_weight_analyze/0.3_0.5_0.2/au_740805.xlsx","au_740805")</f>
        <v>au_740805</v>
      </c>
      <c r="B189">
        <v>0.25</v>
      </c>
      <c r="C189">
        <v>0</v>
      </c>
      <c r="D189">
        <v>0.41666666666666657</v>
      </c>
      <c r="E189">
        <v>8.3333333333333329E-2</v>
      </c>
      <c r="F189">
        <v>0.41666666666666657</v>
      </c>
      <c r="G189">
        <v>0.18333333333333329</v>
      </c>
    </row>
    <row r="190" spans="1:7" x14ac:dyDescent="0.15">
      <c r="A190" t="str">
        <f>HYPERLINK("./new_k5/query_cmdrels_weight_analyze/0.3_0.5_0.2/au_760796.xlsx","au_760796")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HYPERLINK("./new_k5/query_cmdrels_weight_analyze/0.3_0.5_0.2/au_762846.xlsx","au_762846")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0.45833333333333331</v>
      </c>
    </row>
    <row r="192" spans="1:7" x14ac:dyDescent="0.15">
      <c r="A192" t="str">
        <f>HYPERLINK("./new_k5/query_cmdrels_weight_analyze/0.3_0.5_0.2/au_767786.xlsx","au_767786")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0.76</v>
      </c>
    </row>
    <row r="193" spans="1:7" x14ac:dyDescent="0.15">
      <c r="A193" t="str">
        <f>HYPERLINK("./new_k5/query_cmdrels_weight_analyze/0.3_0.5_0.2/au_778906.xlsx","au_778906")</f>
        <v>au_778906</v>
      </c>
      <c r="B193">
        <v>0.2</v>
      </c>
      <c r="C193">
        <v>0.2</v>
      </c>
      <c r="D193">
        <v>0.33333333333333331</v>
      </c>
      <c r="E193">
        <v>0.6</v>
      </c>
      <c r="F193">
        <v>0.33333333333333331</v>
      </c>
      <c r="G193">
        <v>0.6</v>
      </c>
    </row>
    <row r="194" spans="1:7" x14ac:dyDescent="0.15">
      <c r="A194" t="str">
        <f>HYPERLINK("./new_k5/query_cmdrels_weight_analyze/0.3_0.5_0.2/au_818929.xlsx","au_818929")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0.42</v>
      </c>
    </row>
    <row r="195" spans="1:7" x14ac:dyDescent="0.15">
      <c r="A195" t="str">
        <f>HYPERLINK("./new_k5/query_cmdrels_weight_analyze/0.3_0.5_0.2/au_844876.xlsx","au_844876")</f>
        <v>au_844876</v>
      </c>
      <c r="B195">
        <v>0.5</v>
      </c>
      <c r="C195">
        <v>0.5</v>
      </c>
      <c r="D195">
        <v>0.5</v>
      </c>
      <c r="E195">
        <v>0.5</v>
      </c>
      <c r="F195">
        <v>0.5</v>
      </c>
      <c r="G195">
        <v>0.75</v>
      </c>
    </row>
    <row r="196" spans="1:7" x14ac:dyDescent="0.15">
      <c r="A196" t="str">
        <f>HYPERLINK("./new_k5/query_cmdrels_weight_analyze/0.3_0.5_0.2/au_85318.xlsx","au_85318")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0.4</v>
      </c>
    </row>
    <row r="197" spans="1:7" x14ac:dyDescent="0.15">
      <c r="A197" t="str">
        <f>HYPERLINK("./new_k5/query_cmdrels_weight_analyze/0.3_0.5_0.2/au_854332.xlsx","au_854332")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HYPERLINK("./new_k5/query_cmdrels_weight_analyze/0.3_0.5_0.2/au_854373.xlsx","au_854373")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HYPERLINK("./new_k5/query_cmdrels_weight_analyze/0.3_0.5_0.2/au_86843.xlsx","au_86843")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HYPERLINK("./new_k5/query_cmdrels_weight_analyze/0.3_0.5_0.2/au_88108.xlsx","au_88108")</f>
        <v>au_88108</v>
      </c>
      <c r="B200">
        <v>0</v>
      </c>
      <c r="C200">
        <v>0</v>
      </c>
      <c r="D200">
        <v>0.1</v>
      </c>
      <c r="E200">
        <v>6.6666666666666666E-2</v>
      </c>
      <c r="F200">
        <v>0.1</v>
      </c>
      <c r="G200">
        <v>6.6666666666666666E-2</v>
      </c>
    </row>
    <row r="201" spans="1:7" x14ac:dyDescent="0.15">
      <c r="A201" t="str">
        <f>HYPERLINK("./new_k5/query_cmdrels_weight_analyze/0.3_0.5_0.2/au_90214.xlsx","au_90214")</f>
        <v>au_90214</v>
      </c>
      <c r="B201">
        <v>0</v>
      </c>
      <c r="C201">
        <v>0</v>
      </c>
      <c r="D201">
        <v>0.16666666666666671</v>
      </c>
      <c r="E201">
        <v>0</v>
      </c>
      <c r="F201">
        <v>0.16666666666666671</v>
      </c>
      <c r="G201">
        <v>0.2166666666666667</v>
      </c>
    </row>
    <row r="202" spans="1:7" x14ac:dyDescent="0.15">
      <c r="A202" t="str">
        <f>HYPERLINK("./new_k5/query_cmdrels_weight_analyze/0.3_0.5_0.2/au_90339.xlsx","au_90339")</f>
        <v>au_90339</v>
      </c>
      <c r="B202">
        <v>0</v>
      </c>
      <c r="C202">
        <v>0.14285714285714279</v>
      </c>
      <c r="D202">
        <v>4.7619047619047623E-2</v>
      </c>
      <c r="E202">
        <v>0.42857142857142849</v>
      </c>
      <c r="F202">
        <v>0.2047619047619047</v>
      </c>
      <c r="G202">
        <v>0.54285714285714282</v>
      </c>
    </row>
    <row r="203" spans="1:7" x14ac:dyDescent="0.15">
      <c r="A203" t="str">
        <f>HYPERLINK("./new_k5/query_cmdrels_weight_analyze/0.3_0.5_0.2/au_91286.xlsx","au_91286")</f>
        <v>au_91286</v>
      </c>
      <c r="B203">
        <v>0.5</v>
      </c>
      <c r="C203">
        <v>0</v>
      </c>
      <c r="D203">
        <v>0.5</v>
      </c>
      <c r="E203">
        <v>0.16666666666666671</v>
      </c>
      <c r="F203">
        <v>0.5</v>
      </c>
      <c r="G203">
        <v>0.16666666666666671</v>
      </c>
    </row>
    <row r="204" spans="1:7" x14ac:dyDescent="0.15">
      <c r="A204" t="str">
        <f>HYPERLINK("./new_k5/query_cmdrels_weight_analyze/0.3_0.5_0.2/au_9135.xlsx","au_9135")</f>
        <v>au_9135</v>
      </c>
      <c r="B204">
        <v>0.1</v>
      </c>
      <c r="C204">
        <v>0</v>
      </c>
      <c r="D204">
        <v>0.16666666666666671</v>
      </c>
      <c r="E204">
        <v>0.1166666666666667</v>
      </c>
      <c r="F204">
        <v>0.24166666666666661</v>
      </c>
      <c r="G204">
        <v>0.19166666666666671</v>
      </c>
    </row>
    <row r="205" spans="1:7" x14ac:dyDescent="0.15">
      <c r="A205" t="str">
        <f>HYPERLINK("./new_k5/query_cmdrels_weight_analyze/0.3_0.5_0.2/au_935569.xlsx","au_935569")</f>
        <v>au_935569</v>
      </c>
      <c r="B205">
        <v>0.14285714285714279</v>
      </c>
      <c r="C205">
        <v>0</v>
      </c>
      <c r="D205">
        <v>0.42857142857142849</v>
      </c>
      <c r="E205">
        <v>0.16666666666666671</v>
      </c>
      <c r="F205">
        <v>0.54285714285714282</v>
      </c>
      <c r="G205">
        <v>0.16666666666666671</v>
      </c>
    </row>
    <row r="206" spans="1:7" x14ac:dyDescent="0.15">
      <c r="A206" t="str">
        <f>HYPERLINK("./new_k5/query_cmdrels_weight_analyze/0.3_0.5_0.2/au_97936.xlsx","au_97936")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HYPERLINK("./new_k5/query_cmdrels_weight_analyze/0.3_0.5_0.2/so_10235778.xlsx","so_10235778")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HYPERLINK("./new_k5/query_cmdrels_weight_analyze/0.3_0.5_0.2/so_1045910.xlsx","so_1045910")</f>
        <v>so_1045910</v>
      </c>
      <c r="B208">
        <v>0.25</v>
      </c>
      <c r="C208">
        <v>0</v>
      </c>
      <c r="D208">
        <v>0.25</v>
      </c>
      <c r="E208">
        <v>0.125</v>
      </c>
      <c r="F208">
        <v>0.25</v>
      </c>
      <c r="G208">
        <v>0.25</v>
      </c>
    </row>
    <row r="209" spans="1:7" x14ac:dyDescent="0.15">
      <c r="A209" t="str">
        <f>HYPERLINK("./new_k5/query_cmdrels_weight_analyze/0.3_0.5_0.2/so_10557360.xlsx","so_10557360")</f>
        <v>so_10557360</v>
      </c>
      <c r="B209">
        <v>0</v>
      </c>
      <c r="C209">
        <v>0</v>
      </c>
      <c r="D209">
        <v>0</v>
      </c>
      <c r="E209">
        <v>0.1</v>
      </c>
      <c r="F209">
        <v>0</v>
      </c>
      <c r="G209">
        <v>0.1</v>
      </c>
    </row>
    <row r="210" spans="1:7" x14ac:dyDescent="0.15">
      <c r="A210" t="str">
        <f>HYPERLINK("./new_k5/query_cmdrels_weight_analyze/0.3_0.5_0.2/so_1058047.xlsx","so_1058047")</f>
        <v>so_1058047</v>
      </c>
      <c r="B210">
        <v>0.25</v>
      </c>
      <c r="C210">
        <v>0.25</v>
      </c>
      <c r="D210">
        <v>0.25</v>
      </c>
      <c r="E210">
        <v>0.41666666666666657</v>
      </c>
      <c r="F210">
        <v>0.25</v>
      </c>
      <c r="G210">
        <v>0.41666666666666657</v>
      </c>
    </row>
    <row r="211" spans="1:7" x14ac:dyDescent="0.15">
      <c r="A211" t="str">
        <f>HYPERLINK("./new_k5/query_cmdrels_weight_analyze/0.3_0.5_0.2/so_10829402.xlsx","so_10829402")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HYPERLINK("./new_k5/query_cmdrels_weight_analyze/0.3_0.5_0.2/so_1088098.xlsx","so_1088098")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0.25</v>
      </c>
    </row>
    <row r="213" spans="1:7" x14ac:dyDescent="0.15">
      <c r="A213" t="str">
        <f>HYPERLINK("./new_k5/query_cmdrels_weight_analyze/0.3_0.5_0.2/so_10990949.xlsx","so_10990949")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0.5</v>
      </c>
    </row>
    <row r="214" spans="1:7" x14ac:dyDescent="0.15">
      <c r="A214" t="str">
        <f>HYPERLINK("./new_k5/query_cmdrels_weight_analyze/0.3_0.5_0.2/so_11211705.xlsx","so_11211705")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HYPERLINK("./new_k5/query_cmdrels_weight_analyze/0.3_0.5_0.2/so_112932.xlsx","so_112932")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HYPERLINK("./new_k5/query_cmdrels_weight_analyze/0.3_0.5_0.2/so_11392189.xlsx","so_11392189")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0.18333333333333329</v>
      </c>
    </row>
    <row r="217" spans="1:7" x14ac:dyDescent="0.15">
      <c r="A217" t="str">
        <f>HYPERLINK("./new_k5/query_cmdrels_weight_analyze/0.3_0.5_0.2/so_1183183.xlsx","so_1183183")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0.25</v>
      </c>
    </row>
    <row r="218" spans="1:7" x14ac:dyDescent="0.15">
      <c r="A218" t="str">
        <f>HYPERLINK("./new_k5/query_cmdrels_weight_analyze/0.3_0.5_0.2/so_1194882.xlsx","so_1194882")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HYPERLINK("./new_k5/query_cmdrels_weight_analyze/0.3_0.5_0.2/so_12120935.xlsx","so_12120935")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HYPERLINK("./new_k5/query_cmdrels_weight_analyze/0.3_0.5_0.2/so_12313384.xlsx","so_12313384")</f>
        <v>so_12313384</v>
      </c>
      <c r="B220">
        <v>0</v>
      </c>
      <c r="C220">
        <v>0.33333333333333331</v>
      </c>
      <c r="D220">
        <v>0.16666666666666671</v>
      </c>
      <c r="E220">
        <v>0.66666666666666663</v>
      </c>
      <c r="F220">
        <v>0.16666666666666671</v>
      </c>
      <c r="G220">
        <v>0.66666666666666663</v>
      </c>
    </row>
    <row r="221" spans="1:7" x14ac:dyDescent="0.15">
      <c r="A221" t="str">
        <f>HYPERLINK("./new_k5/query_cmdrels_weight_analyze/0.3_0.5_0.2/so_12392598.xlsx","so_12392598")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HYPERLINK("./new_k5/query_cmdrels_weight_analyze/0.3_0.5_0.2/so_1241801.xlsx","so_1241801")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HYPERLINK("./new_k5/query_cmdrels_weight_analyze/0.3_0.5_0.2/so_12522269.xlsx","so_12522269")</f>
        <v>so_12522269</v>
      </c>
      <c r="B223">
        <v>0.2</v>
      </c>
      <c r="C223">
        <v>0.2</v>
      </c>
      <c r="D223">
        <v>0.2</v>
      </c>
      <c r="E223">
        <v>0.2</v>
      </c>
      <c r="F223">
        <v>0.28000000000000003</v>
      </c>
      <c r="G223">
        <v>0.2</v>
      </c>
    </row>
    <row r="224" spans="1:7" x14ac:dyDescent="0.15">
      <c r="A224" t="str">
        <f>HYPERLINK("./new_k5/query_cmdrels_weight_analyze/0.3_0.5_0.2/so_1293907.xlsx","so_1293907")</f>
        <v>so_1293907</v>
      </c>
      <c r="B224">
        <v>0</v>
      </c>
      <c r="C224">
        <v>0.33333333333333331</v>
      </c>
      <c r="D224">
        <v>0</v>
      </c>
      <c r="E224">
        <v>0.66666666666666663</v>
      </c>
      <c r="F224">
        <v>8.3333333333333329E-2</v>
      </c>
      <c r="G224">
        <v>0.8666666666666667</v>
      </c>
    </row>
    <row r="225" spans="1:7" x14ac:dyDescent="0.15">
      <c r="A225" t="str">
        <f>HYPERLINK("./new_k5/query_cmdrels_weight_analyze/0.3_0.5_0.2/so_13428910.xlsx","so_13428910")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HYPERLINK("./new_k5/query_cmdrels_weight_analyze/0.3_0.5_0.2/so_135688.xlsx","so_135688")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HYPERLINK("./new_k5/query_cmdrels_weight_analyze/0.3_0.5_0.2/so_13778273.xlsx","so_13778273")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HYPERLINK("./new_k5/query_cmdrels_weight_analyze/0.3_0.5_0.2/so_1405611.xlsx","so_1405611")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0.16666666666666671</v>
      </c>
      <c r="F228">
        <v>0.33333333333333331</v>
      </c>
      <c r="G228">
        <v>0.16666666666666671</v>
      </c>
    </row>
    <row r="229" spans="1:7" x14ac:dyDescent="0.15">
      <c r="A229" t="str">
        <f>HYPERLINK("./new_k5/query_cmdrels_weight_analyze/0.3_0.5_0.2/so_14300794.xlsx","so_14300794")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HYPERLINK("./new_k5/query_cmdrels_weight_analyze/0.3_0.5_0.2/so_143791.xlsx","so_143791")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HYPERLINK("./new_k5/query_cmdrels_weight_analyze/0.3_0.5_0.2/so_14750650.xlsx","so_14750650")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6.25E-2</v>
      </c>
    </row>
    <row r="232" spans="1:7" x14ac:dyDescent="0.15">
      <c r="A232" t="str">
        <f>HYPERLINK("./new_k5/query_cmdrels_weight_analyze/0.3_0.5_0.2/so_14978411.xlsx","so_14978411")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HYPERLINK("./new_k5/query_cmdrels_weight_analyze/0.3_0.5_0.2/so_15236308.xlsx","so_15236308")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HYPERLINK("./new_k5/query_cmdrels_weight_analyze/0.3_0.5_0.2/so_15286947.xlsx","so_15286947")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HYPERLINK("./new_k5/query_cmdrels_weight_analyze/0.3_0.5_0.2/so_15402770.xlsx","so_15402770")</f>
        <v>so_15402770</v>
      </c>
      <c r="B235">
        <v>0</v>
      </c>
      <c r="C235">
        <v>0.16666666666666671</v>
      </c>
      <c r="D235">
        <v>0.19444444444444439</v>
      </c>
      <c r="E235">
        <v>0.5</v>
      </c>
      <c r="F235">
        <v>0.19444444444444439</v>
      </c>
      <c r="G235">
        <v>0.66666666666666663</v>
      </c>
    </row>
    <row r="236" spans="1:7" x14ac:dyDescent="0.15">
      <c r="A236" t="str">
        <f>HYPERLINK("./new_k5/query_cmdrels_weight_analyze/0.3_0.5_0.2/so_1570262.xlsx","so_1570262")</f>
        <v>so_1570262</v>
      </c>
      <c r="B236">
        <v>0</v>
      </c>
      <c r="C236">
        <v>0</v>
      </c>
      <c r="D236">
        <v>0</v>
      </c>
      <c r="E236">
        <v>6.6666666666666666E-2</v>
      </c>
      <c r="F236">
        <v>0</v>
      </c>
      <c r="G236">
        <v>0.16666666666666671</v>
      </c>
    </row>
    <row r="237" spans="1:7" x14ac:dyDescent="0.15">
      <c r="A237" t="str">
        <f>HYPERLINK("./new_k5/query_cmdrels_weight_analyze/0.3_0.5_0.2/so_1583219.xlsx","so_1583219")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HYPERLINK("./new_k5/query_cmdrels_weight_analyze/0.3_0.5_0.2/so_15872543.xlsx","so_15872543")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HYPERLINK("./new_k5/query_cmdrels_weight_analyze/0.3_0.5_0.2/so_16038087.xlsx","so_16038087")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0.5714285714285714</v>
      </c>
    </row>
    <row r="240" spans="1:7" x14ac:dyDescent="0.15">
      <c r="A240" t="str">
        <f>HYPERLINK("./new_k5/query_cmdrels_weight_analyze/0.3_0.5_0.2/so_16212656.xlsx","so_16212656")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HYPERLINK("./new_k5/query_cmdrels_weight_analyze/0.3_0.5_0.2/so_16575419.xlsx","so_16575419")</f>
        <v>so_16575419</v>
      </c>
      <c r="B241">
        <v>0.25</v>
      </c>
      <c r="C241">
        <v>0.25</v>
      </c>
      <c r="D241">
        <v>0.25</v>
      </c>
      <c r="E241">
        <v>0.75</v>
      </c>
      <c r="F241">
        <v>0.25</v>
      </c>
      <c r="G241">
        <v>0.75</v>
      </c>
    </row>
    <row r="242" spans="1:7" x14ac:dyDescent="0.15">
      <c r="A242" t="str">
        <f>HYPERLINK("./new_k5/query_cmdrels_weight_analyze/0.3_0.5_0.2/so_17582768.xlsx","so_17582768")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8.3333333333333329E-2</v>
      </c>
    </row>
    <row r="243" spans="1:7" x14ac:dyDescent="0.15">
      <c r="A243" t="str">
        <f>HYPERLINK("./new_k5/query_cmdrels_weight_analyze/0.3_0.5_0.2/so_17607612.xlsx","so_17607612")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HYPERLINK("./new_k5/query_cmdrels_weight_analyze/0.3_0.5_0.2/so_17829785.xlsx","so_17829785")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HYPERLINK("./new_k5/query_cmdrels_weight_analyze/0.3_0.5_0.2/so_1839841.xlsx","so_1839841")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HYPERLINK("./new_k5/query_cmdrels_weight_analyze/0.3_0.5_0.2/so_18468716.xlsx","so_18468716")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0.46666666666666662</v>
      </c>
    </row>
    <row r="247" spans="1:7" x14ac:dyDescent="0.15">
      <c r="A247" t="str">
        <f>HYPERLINK("./new_k5/query_cmdrels_weight_analyze/0.3_0.5_0.2/so_19196105.xlsx","so_19196105")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HYPERLINK("./new_k5/query_cmdrels_weight_analyze/0.3_0.5_0.2/so_19482123.xlsx","so_19482123")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HYPERLINK("./new_k5/query_cmdrels_weight_analyze/0.3_0.5_0.2/so_1975849.xlsx","so_1975849")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HYPERLINK("./new_k5/query_cmdrels_weight_analyze/0.3_0.5_0.2/so_212528.xlsx","so_212528")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0.45833333333333331</v>
      </c>
    </row>
    <row r="251" spans="1:7" x14ac:dyDescent="0.15">
      <c r="A251" t="str">
        <f>HYPERLINK("./new_k5/query_cmdrels_weight_analyze/0.3_0.5_0.2/so_21620406.xlsx","so_21620406")</f>
        <v>so_21620406</v>
      </c>
      <c r="B251">
        <v>0</v>
      </c>
      <c r="C251">
        <v>0</v>
      </c>
      <c r="D251">
        <v>0.1111111111111111</v>
      </c>
      <c r="E251">
        <v>0.1111111111111111</v>
      </c>
      <c r="F251">
        <v>0.1111111111111111</v>
      </c>
      <c r="G251">
        <v>0.1111111111111111</v>
      </c>
    </row>
    <row r="252" spans="1:7" x14ac:dyDescent="0.15">
      <c r="A252" t="str">
        <f>HYPERLINK("./new_k5/query_cmdrels_weight_analyze/0.3_0.5_0.2/so_23509348.xlsx","so_23509348")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HYPERLINK("./new_k5/query_cmdrels_weight_analyze/0.3_0.5_0.2/so_24058544.xlsx","so_24058544")</f>
        <v>so_24058544</v>
      </c>
      <c r="B253">
        <v>0.2</v>
      </c>
      <c r="C253">
        <v>0.2</v>
      </c>
      <c r="D253">
        <v>0.2</v>
      </c>
      <c r="E253">
        <v>0.4</v>
      </c>
      <c r="F253">
        <v>0.2</v>
      </c>
      <c r="G253">
        <v>0.4</v>
      </c>
    </row>
    <row r="254" spans="1:7" x14ac:dyDescent="0.15">
      <c r="A254" t="str">
        <f>HYPERLINK("./new_k5/query_cmdrels_weight_analyze/0.3_0.5_0.2/so_24283097.xlsx","so_24283097")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HYPERLINK("./new_k5/query_cmdrels_weight_analyze/0.3_0.5_0.2/so_26256279.xlsx","so_26256279")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HYPERLINK("./new_k5/query_cmdrels_weight_analyze/0.3_0.5_0.2/so_26331651.xlsx","so_26331651")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HYPERLINK("./new_k5/query_cmdrels_weight_analyze/0.3_0.5_0.2/so_26988262.xlsx","so_26988262")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HYPERLINK("./new_k5/query_cmdrels_weight_analyze/0.3_0.5_0.2/so_27238411.xlsx","so_27238411")</f>
        <v>so_27238411</v>
      </c>
      <c r="B258">
        <v>0.2</v>
      </c>
      <c r="C258">
        <v>0.2</v>
      </c>
      <c r="D258">
        <v>0.6</v>
      </c>
      <c r="E258">
        <v>0.6</v>
      </c>
      <c r="F258">
        <v>0.6</v>
      </c>
      <c r="G258">
        <v>0.6</v>
      </c>
    </row>
    <row r="259" spans="1:7" x14ac:dyDescent="0.15">
      <c r="A259" t="str">
        <f>HYPERLINK("./new_k5/query_cmdrels_weight_analyze/0.3_0.5_0.2/so_27943059.xlsx","so_27943059")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0.33333333333333331</v>
      </c>
      <c r="F259">
        <v>0.16666666666666671</v>
      </c>
      <c r="G259">
        <v>0.5</v>
      </c>
    </row>
    <row r="260" spans="1:7" x14ac:dyDescent="0.15">
      <c r="A260" t="str">
        <f>HYPERLINK("./new_k5/query_cmdrels_weight_analyze/0.3_0.5_0.2/so_28869004.xlsx","so_28869004")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HYPERLINK("./new_k5/query_cmdrels_weight_analyze/0.3_0.5_0.2/so_2973624.xlsx","so_2973624")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0.66666666666666663</v>
      </c>
      <c r="F261">
        <v>0.66666666666666663</v>
      </c>
      <c r="G261">
        <v>0.66666666666666663</v>
      </c>
    </row>
    <row r="262" spans="1:7" x14ac:dyDescent="0.15">
      <c r="A262" t="str">
        <f>HYPERLINK("./new_k5/query_cmdrels_weight_analyze/0.3_0.5_0.2/so_30177455.xlsx","so_30177455")</f>
        <v>so_30177455</v>
      </c>
      <c r="B262">
        <v>0</v>
      </c>
      <c r="C262">
        <v>0</v>
      </c>
      <c r="D262">
        <v>0.16666666666666671</v>
      </c>
      <c r="E262">
        <v>0.1111111111111111</v>
      </c>
      <c r="F262">
        <v>0.16666666666666671</v>
      </c>
      <c r="G262">
        <v>0.1111111111111111</v>
      </c>
    </row>
    <row r="263" spans="1:7" x14ac:dyDescent="0.15">
      <c r="A263" t="str">
        <f>HYPERLINK("./new_k5/query_cmdrels_weight_analyze/0.3_0.5_0.2/so_30251889.xlsx","so_30251889")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0.6791666666666667</v>
      </c>
    </row>
    <row r="264" spans="1:7" x14ac:dyDescent="0.15">
      <c r="A264" t="str">
        <f>HYPERLINK("./new_k5/query_cmdrels_weight_analyze/0.3_0.5_0.2/so_305035.xlsx","so_305035")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HYPERLINK("./new_k5/query_cmdrels_weight_analyze/0.3_0.5_0.2/so_36249744.xlsx","so_36249744")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HYPERLINK("./new_k5/query_cmdrels_weight_analyze/0.3_0.5_0.2/so_3643848.xlsx","so_3643848")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HYPERLINK("./new_k5/query_cmdrels_weight_analyze/0.3_0.5_0.2/so_3667329.xlsx","so_3667329")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HYPERLINK("./new_k5/query_cmdrels_weight_analyze/0.3_0.5_0.2/so_369758.xlsx","so_369758")</f>
        <v>so_369758</v>
      </c>
      <c r="B268">
        <v>0.2</v>
      </c>
      <c r="C268">
        <v>0.2</v>
      </c>
      <c r="D268">
        <v>0.4</v>
      </c>
      <c r="E268">
        <v>0.33333333333333331</v>
      </c>
      <c r="F268">
        <v>0.4</v>
      </c>
      <c r="G268">
        <v>0.48333333333333328</v>
      </c>
    </row>
    <row r="269" spans="1:7" x14ac:dyDescent="0.15">
      <c r="A269" t="str">
        <f>HYPERLINK("./new_k5/query_cmdrels_weight_analyze/0.3_0.5_0.2/so_3756323.xlsx","so_3756323")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</v>
      </c>
    </row>
    <row r="270" spans="1:7" x14ac:dyDescent="0.15">
      <c r="A270" t="str">
        <f>HYPERLINK("./new_k5/query_cmdrels_weight_analyze/0.3_0.5_0.2/so_3767267.xlsx","so_3767267")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HYPERLINK("./new_k5/query_cmdrels_weight_analyze/0.3_0.5_0.2/so_3833578.xlsx","so_3833578")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HYPERLINK("./new_k5/query_cmdrels_weight_analyze/0.3_0.5_0.2/so_3891076.xlsx","so_3891076")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0.52500000000000002</v>
      </c>
    </row>
    <row r="273" spans="1:7" x14ac:dyDescent="0.15">
      <c r="A273" t="str">
        <f>HYPERLINK("./new_k5/query_cmdrels_weight_analyze/0.3_0.5_0.2/so_3963085.xlsx","so_3963085")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HYPERLINK("./new_k5/query_cmdrels_weight_analyze/0.3_0.5_0.2/so_4325216.xlsx","so_4325216")</f>
        <v>so_4325216</v>
      </c>
      <c r="B274">
        <v>0.5</v>
      </c>
      <c r="C274">
        <v>0.5</v>
      </c>
      <c r="D274">
        <v>0.5</v>
      </c>
      <c r="E274">
        <v>0.83333333333333326</v>
      </c>
      <c r="F274">
        <v>0.5</v>
      </c>
      <c r="G274">
        <v>0.83333333333333326</v>
      </c>
    </row>
    <row r="275" spans="1:7" x14ac:dyDescent="0.15">
      <c r="A275" t="str">
        <f>HYPERLINK("./new_k5/query_cmdrels_weight_analyze/0.3_0.5_0.2/so_448005.xlsx","so_448005")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HYPERLINK("./new_k5/query_cmdrels_weight_analyze/0.3_0.5_0.2/so_4921879.xlsx","so_4921879")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HYPERLINK("./new_k5/query_cmdrels_weight_analyze/0.3_0.5_0.2/so_4922943.xlsx","so_4922943")</f>
        <v>so_4922943</v>
      </c>
      <c r="B277">
        <v>0.2</v>
      </c>
      <c r="C277">
        <v>0.2</v>
      </c>
      <c r="D277">
        <v>0.33333333333333331</v>
      </c>
      <c r="E277">
        <v>0.33333333333333331</v>
      </c>
      <c r="F277">
        <v>0.33333333333333331</v>
      </c>
      <c r="G277">
        <v>0.33333333333333331</v>
      </c>
    </row>
    <row r="278" spans="1:7" x14ac:dyDescent="0.15">
      <c r="A278" t="str">
        <f>HYPERLINK("./new_k5/query_cmdrels_weight_analyze/0.3_0.5_0.2/so_5119946.xlsx","so_5119946")</f>
        <v>so_5119946</v>
      </c>
      <c r="B278">
        <v>0.5</v>
      </c>
      <c r="C278">
        <v>0</v>
      </c>
      <c r="D278">
        <v>0.5</v>
      </c>
      <c r="E278">
        <v>0</v>
      </c>
      <c r="F278">
        <v>0.5</v>
      </c>
      <c r="G278">
        <v>0</v>
      </c>
    </row>
    <row r="279" spans="1:7" x14ac:dyDescent="0.15">
      <c r="A279" t="str">
        <f>HYPERLINK("./new_k5/query_cmdrels_weight_analyze/0.3_0.5_0.2/so_5164985.xlsx","so_5164985")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HYPERLINK("./new_k5/query_cmdrels_weight_analyze/0.3_0.5_0.2/so_5306153.xlsx","so_5306153")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HYPERLINK("./new_k5/query_cmdrels_weight_analyze/0.3_0.5_0.2/so_5566310.xlsx","so_5566310")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HYPERLINK("./new_k5/query_cmdrels_weight_analyze/0.3_0.5_0.2/so_5927369.xlsx","so_5927369")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HYPERLINK("./new_k5/query_cmdrels_weight_analyze/0.3_0.5_0.2/so_5947742.xlsx","so_5947742")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HYPERLINK("./new_k5/query_cmdrels_weight_analyze/0.3_0.5_0.2/so_614795.xlsx","so_614795")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HYPERLINK("./new_k5/query_cmdrels_weight_analyze/0.3_0.5_0.2/so_6207573.xlsx","so_6207573")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0.2857142857142857</v>
      </c>
      <c r="F285">
        <v>0.37142857142857139</v>
      </c>
      <c r="G285">
        <v>0.39285714285714279</v>
      </c>
    </row>
    <row r="286" spans="1:7" x14ac:dyDescent="0.15">
      <c r="A286" t="str">
        <f>HYPERLINK("./new_k5/query_cmdrels_weight_analyze/0.3_0.5_0.2/so_6283167.xlsx","so_6283167")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HYPERLINK("./new_k5/query_cmdrels_weight_analyze/0.3_0.5_0.2/so_6329505.xlsx","so_6329505")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HYPERLINK("./new_k5/query_cmdrels_weight_analyze/0.3_0.5_0.2/so_6423532.xlsx","so_6423532")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HYPERLINK("./new_k5/query_cmdrels_weight_analyze/0.3_0.5_0.2/so_669438.xlsx","so_669438")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0.33333333333333331</v>
      </c>
    </row>
    <row r="290" spans="1:7" x14ac:dyDescent="0.15">
      <c r="A290" t="str">
        <f>HYPERLINK("./new_k5/query_cmdrels_weight_analyze/0.3_0.5_0.2/so_7052875.xlsx","so_7052875")</f>
        <v>so_7052875</v>
      </c>
      <c r="B290">
        <v>0.2</v>
      </c>
      <c r="C290">
        <v>0</v>
      </c>
      <c r="D290">
        <v>0.2</v>
      </c>
      <c r="E290">
        <v>0.1</v>
      </c>
      <c r="F290">
        <v>0.2</v>
      </c>
      <c r="G290">
        <v>0.18</v>
      </c>
    </row>
    <row r="291" spans="1:7" x14ac:dyDescent="0.15">
      <c r="A291" t="str">
        <f>HYPERLINK("./new_k5/query_cmdrels_weight_analyze/0.3_0.5_0.2/so_7221757.xlsx","so_7221757")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HYPERLINK("./new_k5/query_cmdrels_weight_analyze/0.3_0.5_0.2/so_750604.xlsx","so_750604")</f>
        <v>so_750604</v>
      </c>
      <c r="B292">
        <v>0</v>
      </c>
      <c r="C292">
        <v>0</v>
      </c>
      <c r="D292">
        <v>0.1111111111111111</v>
      </c>
      <c r="E292">
        <v>0.16666666666666671</v>
      </c>
      <c r="F292">
        <v>0.1111111111111111</v>
      </c>
      <c r="G292">
        <v>0.33333333333333331</v>
      </c>
    </row>
    <row r="293" spans="1:7" x14ac:dyDescent="0.15">
      <c r="A293" t="str">
        <f>HYPERLINK("./new_k5/query_cmdrels_weight_analyze/0.3_0.5_0.2/so_7575267.xlsx","so_7575267")</f>
        <v>so_7575267</v>
      </c>
      <c r="B293">
        <v>0</v>
      </c>
      <c r="C293">
        <v>0.25</v>
      </c>
      <c r="D293">
        <v>0</v>
      </c>
      <c r="E293">
        <v>0.75</v>
      </c>
      <c r="F293">
        <v>0</v>
      </c>
      <c r="G293">
        <v>0.75</v>
      </c>
    </row>
    <row r="294" spans="1:7" x14ac:dyDescent="0.15">
      <c r="A294" t="str">
        <f>HYPERLINK("./new_k5/query_cmdrels_weight_analyze/0.3_0.5_0.2/so_7698488.xlsx","so_7698488")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0.16250000000000001</v>
      </c>
    </row>
    <row r="295" spans="1:7" x14ac:dyDescent="0.15">
      <c r="A295" t="str">
        <f>HYPERLINK("./new_k5/query_cmdrels_weight_analyze/0.3_0.5_0.2/so_801095.xlsx","so_801095")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0.33333333333333331</v>
      </c>
      <c r="F295">
        <v>0.33333333333333331</v>
      </c>
      <c r="G295">
        <v>0.5</v>
      </c>
    </row>
    <row r="296" spans="1:7" x14ac:dyDescent="0.15">
      <c r="A296" t="str">
        <f>HYPERLINK("./new_k5/query_cmdrels_weight_analyze/0.3_0.5_0.2/so_8249705.xlsx","so_8249705")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HYPERLINK("./new_k5/query_cmdrels_weight_analyze/0.3_0.5_0.2/so_8423541.xlsx","so_8423541")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HYPERLINK("./new_k5/query_cmdrels_weight_analyze/0.3_0.5_0.2/so_8654051.xlsx","so_8654051")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HYPERLINK("./new_k5/query_cmdrels_weight_analyze/0.3_0.5_0.2/so_890262.xlsx","so_890262")</f>
        <v>so_890262</v>
      </c>
      <c r="B299">
        <v>0</v>
      </c>
      <c r="C299">
        <v>0</v>
      </c>
      <c r="D299">
        <v>0</v>
      </c>
      <c r="E299">
        <v>0.38888888888888878</v>
      </c>
      <c r="F299">
        <v>0</v>
      </c>
      <c r="G299">
        <v>0.38888888888888878</v>
      </c>
    </row>
    <row r="300" spans="1:7" x14ac:dyDescent="0.15">
      <c r="A300" t="str">
        <f>HYPERLINK("./new_k5/query_cmdrels_weight_analyze/0.3_0.5_0.2/so_893585.xlsx","so_893585")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HYPERLINK("./new_k5/query_cmdrels_weight_analyze/0.3_0.5_0.2/so_9223460.xlsx","so_9223460")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HYPERLINK("./new_k5/query_cmdrels_weight_analyze/0.3_0.5_0.2/so_9245638.xlsx","so_9245638")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HYPERLINK("./new_k5/query_cmdrels_weight_analyze/0.3_0.5_0.2/so_9304953.xlsx","so_9304953")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0.6</v>
      </c>
    </row>
    <row r="304" spans="1:7" x14ac:dyDescent="0.15">
      <c r="A304" t="str">
        <f>HYPERLINK("./new_k5/query_cmdrels_weight_analyze/0.3_0.5_0.2/so_9361816.xlsx","so_9361816")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HYPERLINK("./new_k5/query_cmdrels_weight_analyze/0.3_0.5_0.2/su_116617.xlsx","su_116617")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HYPERLINK("./new_k5/query_cmdrels_weight_analyze/0.3_0.5_0.2/su_120045.xlsx","su_120045")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HYPERLINK("./new_k5/query_cmdrels_weight_analyze/0.3_0.5_0.2/su_127863.xlsx","su_127863")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HYPERLINK("./new_k5/query_cmdrels_weight_analyze/0.3_0.5_0.2/su_135498.xlsx","su_135498")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HYPERLINK("./new_k5/query_cmdrels_weight_analyze/0.3_0.5_0.2/su_147027.xlsx","su_147027")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HYPERLINK("./new_k5/query_cmdrels_weight_analyze/0.3_0.5_0.2/su_151911.xlsx","su_151911")</f>
        <v>su_151911</v>
      </c>
      <c r="B310">
        <v>0</v>
      </c>
      <c r="C310">
        <v>0</v>
      </c>
      <c r="D310">
        <v>0</v>
      </c>
      <c r="E310">
        <v>8.3333333333333329E-2</v>
      </c>
      <c r="F310">
        <v>0</v>
      </c>
      <c r="G310">
        <v>8.3333333333333329E-2</v>
      </c>
    </row>
    <row r="311" spans="1:7" x14ac:dyDescent="0.15">
      <c r="A311" t="str">
        <f>HYPERLINK("./new_k5/query_cmdrels_weight_analyze/0.3_0.5_0.2/su_153415.xlsx","su_153415")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HYPERLINK("./new_k5/query_cmdrels_weight_analyze/0.3_0.5_0.2/su_156189.xlsx","su_156189")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0.27777777777777768</v>
      </c>
    </row>
    <row r="313" spans="1:7" x14ac:dyDescent="0.15">
      <c r="A313" t="str">
        <f>HYPERLINK("./new_k5/query_cmdrels_weight_analyze/0.3_0.5_0.2/su_161531.xlsx","su_161531")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HYPERLINK("./new_k5/query_cmdrels_weight_analyze/0.3_0.5_0.2/su_204209.xlsx","su_204209")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HYPERLINK("./new_k5/query_cmdrels_weight_analyze/0.3_0.5_0.2/su_214390.xlsx","su_214390")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HYPERLINK("./new_k5/query_cmdrels_weight_analyze/0.3_0.5_0.2/su_215483.xlsx","su_215483")</f>
        <v>su_215483</v>
      </c>
      <c r="B316">
        <v>0.5</v>
      </c>
      <c r="C316">
        <v>0.5</v>
      </c>
      <c r="D316">
        <v>1</v>
      </c>
      <c r="E316">
        <v>0.5</v>
      </c>
      <c r="F316">
        <v>1</v>
      </c>
      <c r="G316">
        <v>0.5</v>
      </c>
    </row>
    <row r="317" spans="1:7" x14ac:dyDescent="0.15">
      <c r="A317" t="str">
        <f>HYPERLINK("./new_k5/query_cmdrels_weight_analyze/0.3_0.5_0.2/su_215504.xlsx","su_215504")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0.47916666666666657</v>
      </c>
    </row>
    <row r="318" spans="1:7" x14ac:dyDescent="0.15">
      <c r="A318" t="str">
        <f>HYPERLINK("./new_k5/query_cmdrels_weight_analyze/0.3_0.5_0.2/su_227385.xlsx","su_227385")</f>
        <v>su_227385</v>
      </c>
      <c r="B318">
        <v>0</v>
      </c>
      <c r="C318">
        <v>0</v>
      </c>
      <c r="D318">
        <v>0</v>
      </c>
      <c r="E318">
        <v>0.29166666666666657</v>
      </c>
      <c r="F318">
        <v>0</v>
      </c>
      <c r="G318">
        <v>0.6791666666666667</v>
      </c>
    </row>
    <row r="319" spans="1:7" x14ac:dyDescent="0.15">
      <c r="A319" t="str">
        <f>HYPERLINK("./new_k5/query_cmdrels_weight_analyze/0.3_0.5_0.2/su_273254.xlsx","su_273254")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HYPERLINK("./new_k5/query_cmdrels_weight_analyze/0.3_0.5_0.2/su_294161.xlsx","su_294161")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HYPERLINK("./new_k5/query_cmdrels_weight_analyze/0.3_0.5_0.2/su_302396.xlsx","su_302396")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HYPERLINK("./new_k5/query_cmdrels_weight_analyze/0.3_0.5_0.2/su_303981.xlsx","su_303981")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HYPERLINK("./new_k5/query_cmdrels_weight_analyze/0.3_0.5_0.2/su_305128.xlsx","su_305128")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HYPERLINK("./new_k5/query_cmdrels_weight_analyze/0.3_0.5_0.2/su_31512.xlsx","su_31512")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HYPERLINK("./new_k5/query_cmdrels_weight_analyze/0.3_0.5_0.2/su_380520.xlsx","su_380520")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0.33333333333333331</v>
      </c>
    </row>
    <row r="326" spans="1:7" x14ac:dyDescent="0.15">
      <c r="A326" t="str">
        <f>HYPERLINK("./new_k5/query_cmdrels_weight_analyze/0.3_0.5_0.2/su_38981.xlsx","su_38981")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HYPERLINK("./new_k5/query_cmdrels_weight_analyze/0.3_0.5_0.2/su_437330.xlsx","su_437330")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HYPERLINK("./new_k5/query_cmdrels_weight_analyze/0.3_0.5_0.2/su_441379.xlsx","su_441379")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HYPERLINK("./new_k5/query_cmdrels_weight_analyze/0.3_0.5_0.2/su_462788.xlsx","su_462788")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0.33333333333333331</v>
      </c>
      <c r="F329">
        <v>0.30555555555555558</v>
      </c>
      <c r="G329">
        <v>0.42222222222222222</v>
      </c>
    </row>
    <row r="330" spans="1:7" x14ac:dyDescent="0.15">
      <c r="A330" t="str">
        <f>HYPERLINK("./new_k5/query_cmdrels_weight_analyze/0.3_0.5_0.2/su_626606.xlsx","su_626606")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0.5</v>
      </c>
    </row>
    <row r="331" spans="1:7" x14ac:dyDescent="0.15">
      <c r="A331" t="str">
        <f>HYPERLINK("./new_k5/query_cmdrels_weight_analyze/0.3_0.5_0.2/su_634469.xlsx","su_634469")</f>
        <v>su_634469</v>
      </c>
      <c r="B331">
        <v>0</v>
      </c>
      <c r="C331">
        <v>0.16666666666666671</v>
      </c>
      <c r="D331">
        <v>0</v>
      </c>
      <c r="E331">
        <v>0.27777777777777768</v>
      </c>
      <c r="F331">
        <v>0</v>
      </c>
      <c r="G331">
        <v>0.37777777777777782</v>
      </c>
    </row>
    <row r="332" spans="1:7" x14ac:dyDescent="0.15">
      <c r="A332" t="str">
        <f>HYPERLINK("./new_k5/query_cmdrels_weight_analyze/0.3_0.5_0.2/su_638616.xlsx","su_638616")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HYPERLINK("./new_k5/query_cmdrels_weight_analyze/0.3_0.5_0.2/su_678113.xlsx","su_678113")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HYPERLINK("./new_k5/query_cmdrels_weight_analyze/0.3_0.5_0.2/su_686394.xlsx","su_686394")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HYPERLINK("./new_k5/query_cmdrels_weight_analyze/0.3_0.5_0.2/su_716795.xlsx","su_716795")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0.125</v>
      </c>
    </row>
    <row r="336" spans="1:7" x14ac:dyDescent="0.15">
      <c r="A336" t="str">
        <f>HYPERLINK("./new_k5/query_cmdrels_weight_analyze/0.3_0.5_0.2/su_758463.xlsx","su_758463")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HYPERLINK("./new_k5/query_cmdrels_weight_analyze/0.3_0.5_0.2/su_766437.xlsx","su_766437")</f>
        <v>su_766437</v>
      </c>
      <c r="B337">
        <v>0</v>
      </c>
      <c r="C337">
        <v>0</v>
      </c>
      <c r="D337">
        <v>0</v>
      </c>
      <c r="E337">
        <v>6.6666666666666666E-2</v>
      </c>
      <c r="F337">
        <v>0.05</v>
      </c>
      <c r="G337">
        <v>0.28666666666666663</v>
      </c>
    </row>
    <row r="338" spans="1:7" x14ac:dyDescent="0.15">
      <c r="A338" t="str">
        <f>HYPERLINK("./new_k5/query_cmdrels_weight_analyze/0.3_0.5_0.2/su_904001.xlsx","su_904001")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HYPERLINK("./new_k5/query_cmdrels_weight_analyze/0.3_0.5_0.2/ul_100959.xlsx","ul_100959")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HYPERLINK("./new_k5/query_cmdrels_weight_analyze/0.3_0.5_0.2/ul_101073.xlsx","ul_101073")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HYPERLINK("./new_k5/query_cmdrels_weight_analyze/0.3_0.5_0.2/ul_101237.xlsx","ul_101237")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HYPERLINK("./new_k5/query_cmdrels_weight_analyze/0.3_0.5_0.2/ul_102752.xlsx","ul_102752")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HYPERLINK("./new_k5/query_cmdrels_weight_analyze/0.3_0.5_0.2/ul_108174.xlsx","ul_108174")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HYPERLINK("./new_k5/query_cmdrels_weight_analyze/0.3_0.5_0.2/ul_109536.xlsx","ul_109536")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HYPERLINK("./new_k5/query_cmdrels_weight_analyze/0.3_0.5_0.2/ul_112050.xlsx","ul_112050")</f>
        <v>ul_112050</v>
      </c>
      <c r="B345">
        <v>0</v>
      </c>
      <c r="C345">
        <v>0.25</v>
      </c>
      <c r="D345">
        <v>0.125</v>
      </c>
      <c r="E345">
        <v>0.75</v>
      </c>
      <c r="F345">
        <v>0.125</v>
      </c>
      <c r="G345">
        <v>0.75</v>
      </c>
    </row>
    <row r="346" spans="1:7" x14ac:dyDescent="0.15">
      <c r="A346" t="str">
        <f>HYPERLINK("./new_k5/query_cmdrels_weight_analyze/0.3_0.5_0.2/ul_116070.xlsx","ul_116070")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HYPERLINK("./new_k5/query_cmdrels_weight_analyze/0.3_0.5_0.2/ul_11851.xlsx","ul_11851")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HYPERLINK("./new_k5/query_cmdrels_weight_analyze/0.3_0.5_0.2/ul_119126.xlsx","ul_119126")</f>
        <v>ul_119126</v>
      </c>
      <c r="B348">
        <v>0</v>
      </c>
      <c r="C348">
        <v>0.2</v>
      </c>
      <c r="D348">
        <v>0.1</v>
      </c>
      <c r="E348">
        <v>0.4</v>
      </c>
      <c r="F348">
        <v>0.18</v>
      </c>
      <c r="G348">
        <v>0.55000000000000004</v>
      </c>
    </row>
    <row r="349" spans="1:7" x14ac:dyDescent="0.15">
      <c r="A349" t="str">
        <f>HYPERLINK("./new_k5/query_cmdrels_weight_analyze/0.3_0.5_0.2/ul_121718.xlsx","ul_121718")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HYPERLINK("./new_k5/query_cmdrels_weight_analyze/0.3_0.5_0.2/ul_12227.xlsx","ul_12227")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HYPERLINK("./new_k5/query_cmdrels_weight_analyze/0.3_0.5_0.2/ul_12453.xlsx","ul_12453")</f>
        <v>ul_12453</v>
      </c>
      <c r="B351">
        <v>0</v>
      </c>
      <c r="C351">
        <v>0.25</v>
      </c>
      <c r="D351">
        <v>0.125</v>
      </c>
      <c r="E351">
        <v>0.75</v>
      </c>
      <c r="F351">
        <v>0.125</v>
      </c>
      <c r="G351">
        <v>1</v>
      </c>
    </row>
    <row r="352" spans="1:7" x14ac:dyDescent="0.15">
      <c r="A352" t="str">
        <f>HYPERLINK("./new_k5/query_cmdrels_weight_analyze/0.3_0.5_0.2/ul_12535.xlsx","ul_12535")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0.28666666666666663</v>
      </c>
    </row>
    <row r="353" spans="1:7" x14ac:dyDescent="0.15">
      <c r="A353" t="str">
        <f>HYPERLINK("./new_k5/query_cmdrels_weight_analyze/0.3_0.5_0.2/ul_127066.xlsx","ul_127066")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0.41666666666666657</v>
      </c>
    </row>
    <row r="354" spans="1:7" x14ac:dyDescent="0.15">
      <c r="A354" t="str">
        <f>HYPERLINK("./new_k5/query_cmdrels_weight_analyze/0.3_0.5_0.2/ul_128953.xlsx","ul_128953")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HYPERLINK("./new_k5/query_cmdrels_weight_analyze/0.3_0.5_0.2/ul_134829.xlsx","ul_134829")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0.66666666666666663</v>
      </c>
    </row>
    <row r="356" spans="1:7" x14ac:dyDescent="0.15">
      <c r="A356" t="str">
        <f>HYPERLINK("./new_k5/query_cmdrels_weight_analyze/0.3_0.5_0.2/ul_136371.xlsx","ul_136371")</f>
        <v>ul_136371</v>
      </c>
      <c r="B356">
        <v>0</v>
      </c>
      <c r="C356">
        <v>0</v>
      </c>
      <c r="D356">
        <v>0</v>
      </c>
      <c r="E356">
        <v>0.16666666666666671</v>
      </c>
      <c r="F356">
        <v>0</v>
      </c>
      <c r="G356">
        <v>0.3</v>
      </c>
    </row>
    <row r="357" spans="1:7" x14ac:dyDescent="0.15">
      <c r="A357" t="str">
        <f>HYPERLINK("./new_k5/query_cmdrels_weight_analyze/0.3_0.5_0.2/ul_136884.xlsx","ul_136884")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HYPERLINK("./new_k5/query_cmdrels_weight_analyze/0.3_0.5_0.2/ul_138398.xlsx","ul_138398")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HYPERLINK("./new_k5/query_cmdrels_weight_analyze/0.3_0.5_0.2/ul_139271.xlsx","ul_139271")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0.16666666666666671</v>
      </c>
      <c r="F359">
        <v>0.33333333333333331</v>
      </c>
      <c r="G359">
        <v>0.35</v>
      </c>
    </row>
    <row r="360" spans="1:7" x14ac:dyDescent="0.15">
      <c r="A360" t="str">
        <f>HYPERLINK("./new_k5/query_cmdrels_weight_analyze/0.3_0.5_0.2/ul_140482.xlsx","ul_140482")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HYPERLINK("./new_k5/query_cmdrels_weight_analyze/0.3_0.5_0.2/ul_14191.xlsx","ul_14191")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0.1111111111111111</v>
      </c>
    </row>
    <row r="362" spans="1:7" x14ac:dyDescent="0.15">
      <c r="A362" t="str">
        <f>HYPERLINK("./new_k5/query_cmdrels_weight_analyze/0.3_0.5_0.2/ul_145929.xlsx","ul_145929")</f>
        <v>ul_145929</v>
      </c>
      <c r="B362">
        <v>0</v>
      </c>
      <c r="C362">
        <v>0</v>
      </c>
      <c r="D362">
        <v>0.16666666666666671</v>
      </c>
      <c r="E362">
        <v>0.25</v>
      </c>
      <c r="F362">
        <v>0.16666666666666671</v>
      </c>
      <c r="G362">
        <v>0.5</v>
      </c>
    </row>
    <row r="363" spans="1:7" x14ac:dyDescent="0.15">
      <c r="A363" t="str">
        <f>HYPERLINK("./new_k5/query_cmdrels_weight_analyze/0.3_0.5_0.2/ul_148985.xlsx","ul_148985")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HYPERLINK("./new_k5/query_cmdrels_weight_analyze/0.3_0.5_0.2/ul_15405.xlsx","ul_15405")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HYPERLINK("./new_k5/query_cmdrels_weight_analyze/0.3_0.5_0.2/ul_155551.xlsx","ul_155551")</f>
        <v>ul_155551</v>
      </c>
      <c r="B365">
        <v>0</v>
      </c>
      <c r="C365">
        <v>0.5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HYPERLINK("./new_k5/query_cmdrels_weight_analyze/0.3_0.5_0.2/ul_159672.xlsx","ul_159672")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HYPERLINK("./new_k5/query_cmdrels_weight_analyze/0.3_0.5_0.2/ul_163845.xlsx","ul_163845")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HYPERLINK("./new_k5/query_cmdrels_weight_analyze/0.3_0.5_0.2/ul_16407.xlsx","ul_16407")</f>
        <v>ul_16407</v>
      </c>
      <c r="B368">
        <v>0.5</v>
      </c>
      <c r="C368">
        <v>0.5</v>
      </c>
      <c r="D368">
        <v>0.5</v>
      </c>
      <c r="E368">
        <v>0.5</v>
      </c>
      <c r="F368">
        <v>0.75</v>
      </c>
      <c r="G368">
        <v>0.5</v>
      </c>
    </row>
    <row r="369" spans="1:7" x14ac:dyDescent="0.15">
      <c r="A369" t="str">
        <f>HYPERLINK("./new_k5/query_cmdrels_weight_analyze/0.3_0.5_0.2/ul_166558.xlsx","ul_166558")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HYPERLINK("./new_k5/query_cmdrels_weight_analyze/0.3_0.5_0.2/ul_171314.xlsx","ul_171314")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0.25</v>
      </c>
    </row>
    <row r="371" spans="1:7" x14ac:dyDescent="0.15">
      <c r="A371" t="str">
        <f>HYPERLINK("./new_k5/query_cmdrels_weight_analyze/0.3_0.5_0.2/ul_182032.xlsx","ul_182032")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HYPERLINK("./new_k5/query_cmdrels_weight_analyze/0.3_0.5_0.2/ul_19344.xlsx","ul_19344")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HYPERLINK("./new_k5/query_cmdrels_weight_analyze/0.3_0.5_0.2/ul_19369.xlsx","ul_19369")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HYPERLINK("./new_k5/query_cmdrels_weight_analyze/0.3_0.5_0.2/ul_19485.xlsx","ul_19485")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HYPERLINK("./new_k5/query_cmdrels_weight_analyze/0.3_0.5_0.2/ul_20370.xlsx","ul_20370")</f>
        <v>ul_20370</v>
      </c>
      <c r="B375">
        <v>0</v>
      </c>
      <c r="C375">
        <v>0.5</v>
      </c>
      <c r="D375">
        <v>0</v>
      </c>
      <c r="E375">
        <v>0.5</v>
      </c>
      <c r="F375">
        <v>0</v>
      </c>
      <c r="G375">
        <v>0.5</v>
      </c>
    </row>
    <row r="376" spans="1:7" x14ac:dyDescent="0.15">
      <c r="A376" t="str">
        <f>HYPERLINK("./new_k5/query_cmdrels_weight_analyze/0.3_0.5_0.2/ul_211817.xlsx","ul_211817")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HYPERLINK("./new_k5/query_cmdrels_weight_analyze/0.3_0.5_0.2/ul_212925.xlsx","ul_212925")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HYPERLINK("./new_k5/query_cmdrels_weight_analyze/0.3_0.5_0.2/ul_21471.xlsx","ul_21471")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HYPERLINK("./new_k5/query_cmdrels_weight_analyze/0.3_0.5_0.2/ul_22545.xlsx","ul_22545")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HYPERLINK("./new_k5/query_cmdrels_weight_analyze/0.3_0.5_0.2/ul_230481.xlsx","ul_230481")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HYPERLINK("./new_k5/query_cmdrels_weight_analyze/0.3_0.5_0.2/ul_230673.xlsx","ul_230673")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0.45</v>
      </c>
    </row>
    <row r="382" spans="1:7" x14ac:dyDescent="0.15">
      <c r="A382" t="str">
        <f>HYPERLINK("./new_k5/query_cmdrels_weight_analyze/0.3_0.5_0.2/ul_230800.xlsx","ul_230800")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HYPERLINK("./new_k5/query_cmdrels_weight_analyze/0.3_0.5_0.2/ul_232384.xlsx","ul_232384")</f>
        <v>ul_232384</v>
      </c>
      <c r="B383">
        <v>0</v>
      </c>
      <c r="C383">
        <v>0.5</v>
      </c>
      <c r="D383">
        <v>0</v>
      </c>
      <c r="E383">
        <v>0.83333333333333326</v>
      </c>
      <c r="F383">
        <v>0</v>
      </c>
      <c r="G383">
        <v>0.83333333333333326</v>
      </c>
    </row>
    <row r="384" spans="1:7" x14ac:dyDescent="0.15">
      <c r="A384" t="str">
        <f>HYPERLINK("./new_k5/query_cmdrels_weight_analyze/0.3_0.5_0.2/ul_24441.xlsx","ul_24441")</f>
        <v>ul_24441</v>
      </c>
      <c r="B384">
        <v>0</v>
      </c>
      <c r="C384">
        <v>0.5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HYPERLINK("./new_k5/query_cmdrels_weight_analyze/0.3_0.5_0.2/ul_246535.xlsx","ul_246535")</f>
        <v>ul_246535</v>
      </c>
      <c r="B385">
        <v>0.2</v>
      </c>
      <c r="C385">
        <v>0</v>
      </c>
      <c r="D385">
        <v>0.2</v>
      </c>
      <c r="E385">
        <v>0.23333333333333331</v>
      </c>
      <c r="F385">
        <v>0.2</v>
      </c>
      <c r="G385">
        <v>0.23333333333333331</v>
      </c>
    </row>
    <row r="386" spans="1:7" x14ac:dyDescent="0.15">
      <c r="A386" t="str">
        <f>HYPERLINK("./new_k5/query_cmdrels_weight_analyze/0.3_0.5_0.2/ul_259791.xlsx","ul_259791")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HYPERLINK("./new_k5/query_cmdrels_weight_analyze/0.3_0.5_0.2/ul_273971.xlsx","ul_273971")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0.27777777777777768</v>
      </c>
      <c r="F387">
        <v>0.43333333333333329</v>
      </c>
      <c r="G387">
        <v>0.27777777777777768</v>
      </c>
    </row>
    <row r="388" spans="1:7" x14ac:dyDescent="0.15">
      <c r="A388" t="str">
        <f>HYPERLINK("./new_k5/query_cmdrels_weight_analyze/0.3_0.5_0.2/ul_28553.xlsx","ul_28553")</f>
        <v>ul_28553</v>
      </c>
      <c r="B388">
        <v>0.25</v>
      </c>
      <c r="C388">
        <v>0</v>
      </c>
      <c r="D388">
        <v>0.5</v>
      </c>
      <c r="E388">
        <v>0.125</v>
      </c>
      <c r="F388">
        <v>0.5</v>
      </c>
      <c r="G388">
        <v>0.125</v>
      </c>
    </row>
    <row r="389" spans="1:7" x14ac:dyDescent="0.15">
      <c r="A389" t="str">
        <f>HYPERLINK("./new_k5/query_cmdrels_weight_analyze/0.3_0.5_0.2/ul_288521.xlsx","ul_288521")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HYPERLINK("./new_k5/query_cmdrels_weight_analyze/0.3_0.5_0.2/ul_32290.xlsx","ul_32290")</f>
        <v>ul_32290</v>
      </c>
      <c r="B390">
        <v>0</v>
      </c>
      <c r="C390">
        <v>0</v>
      </c>
      <c r="D390">
        <v>0</v>
      </c>
      <c r="E390">
        <v>8.3333333333333329E-2</v>
      </c>
      <c r="F390">
        <v>0</v>
      </c>
      <c r="G390">
        <v>8.3333333333333329E-2</v>
      </c>
    </row>
    <row r="391" spans="1:7" x14ac:dyDescent="0.15">
      <c r="A391" t="str">
        <f>HYPERLINK("./new_k5/query_cmdrels_weight_analyze/0.3_0.5_0.2/ul_328882.xlsx","ul_328882")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HYPERLINK("./new_k5/query_cmdrels_weight_analyze/0.3_0.5_0.2/ul_35131.xlsx","ul_35131")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0.66666666666666663</v>
      </c>
    </row>
    <row r="393" spans="1:7" x14ac:dyDescent="0.15">
      <c r="A393" t="str">
        <f>HYPERLINK("./new_k5/query_cmdrels_weight_analyze/0.3_0.5_0.2/ul_35333.xlsx","ul_35333")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HYPERLINK("./new_k5/query_cmdrels_weight_analyze/0.3_0.5_0.2/ul_35711.xlsx","ul_35711")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HYPERLINK("./new_k5/query_cmdrels_weight_analyze/0.3_0.5_0.2/ul_3575.xlsx","ul_3575")</f>
        <v>ul_3575</v>
      </c>
      <c r="B395">
        <v>0</v>
      </c>
      <c r="C395">
        <v>0</v>
      </c>
      <c r="D395">
        <v>8.3333333333333329E-2</v>
      </c>
      <c r="E395">
        <v>0</v>
      </c>
      <c r="F395">
        <v>8.3333333333333329E-2</v>
      </c>
      <c r="G395">
        <v>3.3333333333333333E-2</v>
      </c>
    </row>
    <row r="396" spans="1:7" x14ac:dyDescent="0.15">
      <c r="A396" t="str">
        <f>HYPERLINK("./new_k5/query_cmdrels_weight_analyze/0.3_0.5_0.2/ul_35832.xlsx","ul_35832")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HYPERLINK("./new_k5/query_cmdrels_weight_analyze/0.3_0.5_0.2/ul_370318.xlsx","ul_370318")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0.2857142857142857</v>
      </c>
      <c r="F397">
        <v>0.14285714285714279</v>
      </c>
      <c r="G397">
        <v>0.2857142857142857</v>
      </c>
    </row>
    <row r="398" spans="1:7" x14ac:dyDescent="0.15">
      <c r="A398" t="str">
        <f>HYPERLINK("./new_k5/query_cmdrels_weight_analyze/0.3_0.5_0.2/ul_37329.xlsx","ul_37329")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0.66666666666666663</v>
      </c>
      <c r="F398">
        <v>0.33333333333333331</v>
      </c>
      <c r="G398">
        <v>0.66666666666666663</v>
      </c>
    </row>
    <row r="399" spans="1:7" x14ac:dyDescent="0.15">
      <c r="A399" t="str">
        <f>HYPERLINK("./new_k5/query_cmdrels_weight_analyze/0.3_0.5_0.2/ul_38209.xlsx","ul_38209")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HYPERLINK("./new_k5/query_cmdrels_weight_analyze/0.3_0.5_0.2/ul_41246.xlsx","ul_41246")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HYPERLINK("./new_k5/query_cmdrels_weight_analyze/0.3_0.5_0.2/ul_41362.xlsx","ul_41362")</f>
        <v>ul_41362</v>
      </c>
      <c r="B401">
        <v>0</v>
      </c>
      <c r="C401">
        <v>0</v>
      </c>
      <c r="D401">
        <v>0</v>
      </c>
      <c r="E401">
        <v>8.3333333333333329E-2</v>
      </c>
      <c r="F401">
        <v>0</v>
      </c>
      <c r="G401">
        <v>8.3333333333333329E-2</v>
      </c>
    </row>
    <row r="402" spans="1:7" x14ac:dyDescent="0.15">
      <c r="A402" t="str">
        <f>HYPERLINK("./new_k5/query_cmdrels_weight_analyze/0.3_0.5_0.2/ul_48200.xlsx","ul_48200")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HYPERLINK("./new_k5/query_cmdrels_weight_analyze/0.3_0.5_0.2/ul_50098.xlsx","ul_50098")</f>
        <v>ul_50098</v>
      </c>
      <c r="B403">
        <v>0</v>
      </c>
      <c r="C403">
        <v>0</v>
      </c>
      <c r="D403">
        <v>0.1166666666666667</v>
      </c>
      <c r="E403">
        <v>0.05</v>
      </c>
      <c r="F403">
        <v>0.1166666666666667</v>
      </c>
      <c r="G403">
        <v>0.16</v>
      </c>
    </row>
    <row r="404" spans="1:7" x14ac:dyDescent="0.15">
      <c r="A404" t="str">
        <f>HYPERLINK("./new_k5/query_cmdrels_weight_analyze/0.3_0.5_0.2/ul_50785.xlsx","ul_50785")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HYPERLINK("./new_k5/query_cmdrels_weight_analyze/0.3_0.5_0.2/ul_5085.xlsx","ul_5085")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HYPERLINK("./new_k5/query_cmdrels_weight_analyze/0.3_0.5_0.2/ul_53737.xlsx","ul_53737")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HYPERLINK("./new_k5/query_cmdrels_weight_analyze/0.3_0.5_0.2/ul_55125.xlsx","ul_55125")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HYPERLINK("./new_k5/query_cmdrels_weight_analyze/0.3_0.5_0.2/ul_56453.xlsx","ul_56453")</f>
        <v>ul_56453</v>
      </c>
      <c r="B408">
        <v>0</v>
      </c>
      <c r="C408">
        <v>0.25</v>
      </c>
      <c r="D408">
        <v>8.3333333333333329E-2</v>
      </c>
      <c r="E408">
        <v>0.41666666666666657</v>
      </c>
      <c r="F408">
        <v>8.3333333333333329E-2</v>
      </c>
      <c r="G408">
        <v>0.56666666666666665</v>
      </c>
    </row>
    <row r="409" spans="1:7" x14ac:dyDescent="0.15">
      <c r="A409" t="str">
        <f>HYPERLINK("./new_k5/query_cmdrels_weight_analyze/0.3_0.5_0.2/ul_63648.xlsx","ul_63648")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HYPERLINK("./new_k5/query_cmdrels_weight_analyze/0.3_0.5_0.2/ul_6402.xlsx","ul_6402")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0.33333333333333331</v>
      </c>
    </row>
    <row r="411" spans="1:7" x14ac:dyDescent="0.15">
      <c r="A411" t="str">
        <f>HYPERLINK("./new_k5/query_cmdrels_weight_analyze/0.3_0.5_0.2/ul_65106.xlsx","ul_65106")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0.66666666666666663</v>
      </c>
    </row>
    <row r="412" spans="1:7" x14ac:dyDescent="0.15">
      <c r="A412" t="str">
        <f>HYPERLINK("./new_k5/query_cmdrels_weight_analyze/0.3_0.5_0.2/ul_65932.xlsx","ul_65932")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HYPERLINK("./new_k5/query_cmdrels_weight_analyze/0.3_0.5_0.2/ul_6596.xlsx","ul_6596")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HYPERLINK("./new_k5/query_cmdrels_weight_analyze/0.3_0.5_0.2/ul_67503.xlsx","ul_67503")</f>
        <v>ul_67503</v>
      </c>
      <c r="B414">
        <v>0</v>
      </c>
      <c r="C414">
        <v>0.5</v>
      </c>
      <c r="D414">
        <v>0.25</v>
      </c>
      <c r="E414">
        <v>0.5</v>
      </c>
      <c r="F414">
        <v>0.5</v>
      </c>
      <c r="G414">
        <v>0.5</v>
      </c>
    </row>
    <row r="415" spans="1:7" x14ac:dyDescent="0.15">
      <c r="A415" t="str">
        <f>HYPERLINK("./new_k5/query_cmdrels_weight_analyze/0.3_0.5_0.2/ul_67592.xlsx","ul_67592")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HYPERLINK("./new_k5/query_cmdrels_weight_analyze/0.3_0.5_0.2/ul_70581.xlsx","ul_70581")</f>
        <v>ul_70581</v>
      </c>
      <c r="B416">
        <v>0</v>
      </c>
      <c r="C416">
        <v>0.2</v>
      </c>
      <c r="D416">
        <v>0.1</v>
      </c>
      <c r="E416">
        <v>0.4</v>
      </c>
      <c r="F416">
        <v>0.1</v>
      </c>
      <c r="G416">
        <v>0.55000000000000004</v>
      </c>
    </row>
    <row r="417" spans="1:7" x14ac:dyDescent="0.15">
      <c r="A417" t="str">
        <f>HYPERLINK("./new_k5/query_cmdrels_weight_analyze/0.3_0.5_0.2/ul_70614.xlsx","ul_70614")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HYPERLINK("./new_k5/query_cmdrels_weight_analyze/0.3_0.5_0.2/ul_71465.xlsx","ul_71465")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HYPERLINK("./new_k5/query_cmdrels_weight_analyze/0.3_0.5_0.2/ul_7226.xlsx","ul_7226")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0.33333333333333331</v>
      </c>
      <c r="F419">
        <v>0.33333333333333331</v>
      </c>
      <c r="G419">
        <v>0.5</v>
      </c>
    </row>
    <row r="420" spans="1:7" x14ac:dyDescent="0.15">
      <c r="A420" t="str">
        <f>HYPERLINK("./new_k5/query_cmdrels_weight_analyze/0.3_0.5_0.2/ul_78182.xlsx","ul_78182")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</v>
      </c>
    </row>
    <row r="421" spans="1:7" x14ac:dyDescent="0.15">
      <c r="A421" t="str">
        <f>HYPERLINK("./new_k5/query_cmdrels_weight_analyze/0.3_0.5_0.2/ul_79678.xlsx","ul_79678")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HYPERLINK("./new_k5/query_cmdrels_weight_analyze/0.3_0.5_0.2/ul_79702.xlsx","ul_79702")</f>
        <v>ul_79702</v>
      </c>
      <c r="B422">
        <v>0</v>
      </c>
      <c r="C422">
        <v>0.33333333333333331</v>
      </c>
      <c r="D422">
        <v>0</v>
      </c>
      <c r="E422">
        <v>0.55555555555555547</v>
      </c>
      <c r="F422">
        <v>0</v>
      </c>
      <c r="G422">
        <v>0.75555555555555554</v>
      </c>
    </row>
    <row r="423" spans="1:7" x14ac:dyDescent="0.15">
      <c r="A423" t="str">
        <f>HYPERLINK("./new_k5/query_cmdrels_weight_analyze/0.3_0.5_0.2/ul_83593.xlsx","ul_83593")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HYPERLINK("./new_k5/query_cmdrels_weight_analyze/0.3_0.5_0.2/ul_84381.xlsx","ul_84381")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HYPERLINK("./new_k5/query_cmdrels_weight_analyze/0.3_0.5_0.2/ul_85180.xlsx","ul_85180")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0.27777777777777768</v>
      </c>
    </row>
    <row r="426" spans="1:7" x14ac:dyDescent="0.15">
      <c r="A426" t="str">
        <f>HYPERLINK("./new_k5/query_cmdrels_weight_analyze/0.3_0.5_0.2/ul_86071.xlsx","ul_86071")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HYPERLINK("./new_k5/query_cmdrels_weight_analyze/0.3_0.5_0.2/ul_86729.xlsx","ul_86729")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HYPERLINK("./new_k5/query_cmdrels_weight_analyze/0.3_0.5_0.2/ul_88824.xlsx","ul_88824")</f>
        <v>ul_88824</v>
      </c>
      <c r="B428">
        <v>0</v>
      </c>
      <c r="C428">
        <v>0.33333333333333331</v>
      </c>
      <c r="D428">
        <v>0</v>
      </c>
      <c r="E428">
        <v>0.33333333333333331</v>
      </c>
      <c r="F428">
        <v>0</v>
      </c>
      <c r="G428">
        <v>0.33333333333333331</v>
      </c>
    </row>
    <row r="429" spans="1:7" x14ac:dyDescent="0.15">
      <c r="A429" t="str">
        <f>HYPERLINK("./new_k5/query_cmdrels_weight_analyze/0.3_0.5_0.2/ul_8945.xlsx","ul_8945")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HYPERLINK("./new_k5/query_cmdrels_weight_analyze/0.3_0.5_0.2/ul_89933.xlsx","ul_89933")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HYPERLINK("./new_k5/query_cmdrels_weight_analyze/0.3_0.5_0.2/ul_91297.xlsx","ul_91297")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HYPERLINK("./new_k5/query_cmdrels_weight_analyze/0.3_0.5_0.2/ul_9252.xlsx","ul_9252")</f>
        <v>ul_9252</v>
      </c>
      <c r="B432">
        <v>0</v>
      </c>
      <c r="C432">
        <v>0</v>
      </c>
      <c r="D432">
        <v>0.23333333333333331</v>
      </c>
      <c r="E432">
        <v>6.6666666666666666E-2</v>
      </c>
      <c r="F432">
        <v>0.23333333333333331</v>
      </c>
      <c r="G432">
        <v>0.1466666666666667</v>
      </c>
    </row>
    <row r="433" spans="1:7" x14ac:dyDescent="0.15">
      <c r="A433" t="str">
        <f>HYPERLINK("./new_k5/query_cmdrels_weight_analyze/0.3_0.5_0.2/ul_92560.xlsx","ul_92560")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0.5</v>
      </c>
    </row>
    <row r="434" spans="1:7" x14ac:dyDescent="0.15">
      <c r="A434" t="str">
        <f>HYPERLINK("./new_k5/query_cmdrels_weight_analyze/0.3_0.5_0.2/ul_92799.xlsx","ul_92799")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0.5</v>
      </c>
      <c r="F434">
        <v>0.53611111111111109</v>
      </c>
      <c r="G434">
        <v>0.66666666666666663</v>
      </c>
    </row>
    <row r="435" spans="1:7" x14ac:dyDescent="0.15">
      <c r="A435" t="str">
        <f>HYPERLINK("./new_k5/query_cmdrels_weight_analyze/0.3_0.5_0.2/ul_93139.xlsx","ul_93139")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HYPERLINK("./new_k5/query_cmdrels_weight_analyze/0.3_0.5_0.2/ul_98461.xlsx","ul_98461")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HYPERLINK("./new_k5/query_cmdrels_weight_analyze/0.3_0.6_0.1/au_102733.xlsx","au_102733")</f>
        <v>au_102733</v>
      </c>
      <c r="B3">
        <v>0.25</v>
      </c>
      <c r="C3">
        <v>0</v>
      </c>
      <c r="D3">
        <v>0.5</v>
      </c>
      <c r="E3">
        <v>0.125</v>
      </c>
      <c r="F3">
        <v>0.5</v>
      </c>
      <c r="G3">
        <v>0.125</v>
      </c>
    </row>
    <row r="4" spans="1:7" x14ac:dyDescent="0.15">
      <c r="A4" t="str">
        <f>HYPERLINK("./new_k5/query_cmdrels_weight_analyze/0.3_0.6_0.1/au_1029436.xlsx","au_1029436")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HYPERLINK("./new_k5/query_cmdrels_weight_analyze/0.3_0.6_0.1/au_1029502.xlsx","au_1029502")</f>
        <v>au_1029502</v>
      </c>
      <c r="B5">
        <v>0.25</v>
      </c>
      <c r="C5">
        <v>0.25</v>
      </c>
      <c r="D5">
        <v>0.25</v>
      </c>
      <c r="E5">
        <v>0.25</v>
      </c>
      <c r="F5">
        <v>0.375</v>
      </c>
      <c r="G5">
        <v>0.25</v>
      </c>
    </row>
    <row r="6" spans="1:7" x14ac:dyDescent="0.15">
      <c r="A6" t="str">
        <f>HYPERLINK("./new_k5/query_cmdrels_weight_analyze/0.3_0.6_0.1/au_1029531.xlsx","au_1029531")</f>
        <v>au_1029531</v>
      </c>
      <c r="B6">
        <v>0.33333333333333331</v>
      </c>
      <c r="C6">
        <v>0</v>
      </c>
      <c r="D6">
        <v>0.33333333333333331</v>
      </c>
      <c r="E6">
        <v>0.16666666666666671</v>
      </c>
      <c r="F6">
        <v>0.46666666666666662</v>
      </c>
      <c r="G6">
        <v>0.16666666666666671</v>
      </c>
    </row>
    <row r="7" spans="1:7" x14ac:dyDescent="0.15">
      <c r="A7" t="str">
        <f>HYPERLINK("./new_k5/query_cmdrels_weight_analyze/0.3_0.6_0.1/au_104542.xlsx","au_104542")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HYPERLINK("./new_k5/query_cmdrels_weight_analyze/0.3_0.6_0.1/au_109070.xlsx","au_109070")</f>
        <v>au_109070</v>
      </c>
      <c r="B8">
        <v>0</v>
      </c>
      <c r="C8">
        <v>0</v>
      </c>
      <c r="D8">
        <v>0.23333333333333331</v>
      </c>
      <c r="E8">
        <v>0</v>
      </c>
      <c r="F8">
        <v>0.3833333333333333</v>
      </c>
      <c r="G8">
        <v>0.05</v>
      </c>
    </row>
    <row r="9" spans="1:7" x14ac:dyDescent="0.15">
      <c r="A9" t="str">
        <f>HYPERLINK("./new_k5/query_cmdrels_weight_analyze/0.3_0.6_0.1/au_109381.xlsx","au_109381")</f>
        <v>au_109381</v>
      </c>
      <c r="B9">
        <v>0</v>
      </c>
      <c r="C9">
        <v>0.5</v>
      </c>
      <c r="D9">
        <v>0.25</v>
      </c>
      <c r="E9">
        <v>0.5</v>
      </c>
      <c r="F9">
        <v>0.25</v>
      </c>
      <c r="G9">
        <v>0.75</v>
      </c>
    </row>
    <row r="10" spans="1:7" x14ac:dyDescent="0.15">
      <c r="A10" t="str">
        <f>HYPERLINK("./new_k5/query_cmdrels_weight_analyze/0.3_0.6_0.1/au_110477.xlsx","au_110477")</f>
        <v>au_110477</v>
      </c>
      <c r="B10">
        <v>0.25</v>
      </c>
      <c r="C10">
        <v>0.25</v>
      </c>
      <c r="D10">
        <v>0.5</v>
      </c>
      <c r="E10">
        <v>0.75</v>
      </c>
      <c r="F10">
        <v>0.5</v>
      </c>
      <c r="G10">
        <v>0.75</v>
      </c>
    </row>
    <row r="11" spans="1:7" x14ac:dyDescent="0.15">
      <c r="A11" t="str">
        <f>HYPERLINK("./new_k5/query_cmdrels_weight_analyze/0.3_0.6_0.1/au_111678.xlsx","au_111678")</f>
        <v>au_111678</v>
      </c>
      <c r="B11">
        <v>0</v>
      </c>
      <c r="C11">
        <v>0.33333333333333331</v>
      </c>
      <c r="D11">
        <v>0.1111111111111111</v>
      </c>
      <c r="E11">
        <v>0.33333333333333331</v>
      </c>
      <c r="F11">
        <v>0.1111111111111111</v>
      </c>
      <c r="G11">
        <v>0.33333333333333331</v>
      </c>
    </row>
    <row r="12" spans="1:7" x14ac:dyDescent="0.15">
      <c r="A12" t="str">
        <f>HYPERLINK("./new_k5/query_cmdrels_weight_analyze/0.3_0.6_0.1/au_112512.xlsx","au_112512")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HYPERLINK("./new_k5/query_cmdrels_weight_analyze/0.3_0.6_0.1/au_115369.xlsx","au_115369")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HYPERLINK("./new_k5/query_cmdrels_weight_analyze/0.3_0.6_0.1/au_11789.xlsx","au_11789")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HYPERLINK("./new_k5/query_cmdrels_weight_analyze/0.3_0.6_0.1/au_117950.xlsx","au_117950")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0.32500000000000001</v>
      </c>
    </row>
    <row r="16" spans="1:7" x14ac:dyDescent="0.15">
      <c r="A16" t="str">
        <f>HYPERLINK("./new_k5/query_cmdrels_weight_analyze/0.3_0.6_0.1/au_122113.xlsx","au_122113")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HYPERLINK("./new_k5/query_cmdrels_weight_analyze/0.3_0.6_0.1/au_123798.xlsx","au_123798")</f>
        <v>au_123798</v>
      </c>
      <c r="B17">
        <v>0</v>
      </c>
      <c r="C17">
        <v>0</v>
      </c>
      <c r="D17">
        <v>5.5555555555555552E-2</v>
      </c>
      <c r="E17">
        <v>5.5555555555555552E-2</v>
      </c>
      <c r="F17">
        <v>0.23888888888888879</v>
      </c>
      <c r="G17">
        <v>0.23888888888888879</v>
      </c>
    </row>
    <row r="18" spans="1:7" x14ac:dyDescent="0.15">
      <c r="A18" t="str">
        <f>HYPERLINK("./new_k5/query_cmdrels_weight_analyze/0.3_0.6_0.1/au_125257.xlsx","au_125257")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HYPERLINK("./new_k5/query_cmdrels_weight_analyze/0.3_0.6_0.1/au_126153.xlsx","au_126153")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0.33333333333333331</v>
      </c>
      <c r="F19">
        <v>0.45833333333333331</v>
      </c>
      <c r="G19">
        <v>0.43333333333333329</v>
      </c>
    </row>
    <row r="20" spans="1:7" x14ac:dyDescent="0.15">
      <c r="A20" t="str">
        <f>HYPERLINK("./new_k5/query_cmdrels_weight_analyze/0.3_0.6_0.1/au_127326.xlsx","au_127326")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HYPERLINK("./new_k5/query_cmdrels_weight_analyze/0.3_0.6_0.1/au_128463.xlsx","au_128463")</f>
        <v>au_128463</v>
      </c>
      <c r="B21">
        <v>0.33333333333333331</v>
      </c>
      <c r="C21">
        <v>0.33333333333333331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HYPERLINK("./new_k5/query_cmdrels_weight_analyze/0.3_0.6_0.1/au_130393.xlsx","au_130393")</f>
        <v>au_130393</v>
      </c>
      <c r="B22">
        <v>0</v>
      </c>
      <c r="C22">
        <v>0.25</v>
      </c>
      <c r="D22">
        <v>0.125</v>
      </c>
      <c r="E22">
        <v>0.25</v>
      </c>
      <c r="F22">
        <v>0.125</v>
      </c>
      <c r="G22">
        <v>0.375</v>
      </c>
    </row>
    <row r="23" spans="1:7" x14ac:dyDescent="0.15">
      <c r="A23" t="str">
        <f>HYPERLINK("./new_k5/query_cmdrels_weight_analyze/0.3_0.6_0.1/au_131570.xlsx","au_131570")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HYPERLINK("./new_k5/query_cmdrels_weight_analyze/0.3_0.6_0.1/au_133318.xlsx","au_133318")</f>
        <v>au_133318</v>
      </c>
      <c r="B24">
        <v>0</v>
      </c>
      <c r="C24">
        <v>0.25</v>
      </c>
      <c r="D24">
        <v>0</v>
      </c>
      <c r="E24">
        <v>0.41666666666666657</v>
      </c>
      <c r="F24">
        <v>0</v>
      </c>
      <c r="G24">
        <v>0.41666666666666657</v>
      </c>
    </row>
    <row r="25" spans="1:7" x14ac:dyDescent="0.15">
      <c r="A25" t="str">
        <f>HYPERLINK("./new_k5/query_cmdrels_weight_analyze/0.3_0.6_0.1/au_133343.xlsx","au_133343")</f>
        <v>au_133343</v>
      </c>
      <c r="B25">
        <v>0</v>
      </c>
      <c r="C25">
        <v>0</v>
      </c>
      <c r="D25">
        <v>0</v>
      </c>
      <c r="E25">
        <v>0.16666666666666671</v>
      </c>
      <c r="F25">
        <v>0</v>
      </c>
      <c r="G25">
        <v>0.33333333333333331</v>
      </c>
    </row>
    <row r="26" spans="1:7" x14ac:dyDescent="0.15">
      <c r="A26" t="str">
        <f>HYPERLINK("./new_k5/query_cmdrels_weight_analyze/0.3_0.6_0.1/au_133389.xlsx","au_133389")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HYPERLINK("./new_k5/query_cmdrels_weight_analyze/0.3_0.6_0.1/au_141277.xlsx","au_141277")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HYPERLINK("./new_k5/query_cmdrels_weight_analyze/0.3_0.6_0.1/au_143819.xlsx","au_143819")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HYPERLINK("./new_k5/query_cmdrels_weight_analyze/0.3_0.6_0.1/au_145935.xlsx","au_145935")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HYPERLINK("./new_k5/query_cmdrels_weight_analyze/0.3_0.6_0.1/au_147241.xlsx","au_147241")</f>
        <v>au_147241</v>
      </c>
      <c r="B30">
        <v>0</v>
      </c>
      <c r="C30">
        <v>0</v>
      </c>
      <c r="D30">
        <v>0.29166666666666657</v>
      </c>
      <c r="E30">
        <v>8.3333333333333329E-2</v>
      </c>
      <c r="F30">
        <v>0.29166666666666657</v>
      </c>
      <c r="G30">
        <v>0.18333333333333329</v>
      </c>
    </row>
    <row r="31" spans="1:7" x14ac:dyDescent="0.15">
      <c r="A31" t="str">
        <f>HYPERLINK("./new_k5/query_cmdrels_weight_analyze/0.3_0.6_0.1/au_147800.xlsx","au_147800")</f>
        <v>au_147800</v>
      </c>
      <c r="B31">
        <v>0</v>
      </c>
      <c r="C31">
        <v>0</v>
      </c>
      <c r="D31">
        <v>0.1111111111111111</v>
      </c>
      <c r="E31">
        <v>0.1111111111111111</v>
      </c>
      <c r="F31">
        <v>0.1111111111111111</v>
      </c>
      <c r="G31">
        <v>0.1111111111111111</v>
      </c>
    </row>
    <row r="32" spans="1:7" x14ac:dyDescent="0.15">
      <c r="A32" t="str">
        <f>HYPERLINK("./new_k5/query_cmdrels_weight_analyze/0.3_0.6_0.1/au_148321.xlsx","au_148321")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0.40277777777777768</v>
      </c>
    </row>
    <row r="33" spans="1:7" x14ac:dyDescent="0.15">
      <c r="A33" t="str">
        <f>HYPERLINK("./new_k5/query_cmdrels_weight_analyze/0.3_0.6_0.1/au_148638.xlsx","au_148638")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HYPERLINK("./new_k5/query_cmdrels_weight_analyze/0.3_0.6_0.1/au_151049.xlsx","au_151049")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HYPERLINK("./new_k5/query_cmdrels_weight_analyze/0.3_0.6_0.1/au_151941.xlsx","au_151941")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HYPERLINK("./new_k5/query_cmdrels_weight_analyze/0.3_0.6_0.1/au_152297.xlsx","au_152297")</f>
        <v>au_152297</v>
      </c>
      <c r="B36">
        <v>0</v>
      </c>
      <c r="C36">
        <v>0</v>
      </c>
      <c r="D36">
        <v>7.1428571428571425E-2</v>
      </c>
      <c r="E36">
        <v>7.1428571428571425E-2</v>
      </c>
      <c r="F36">
        <v>7.1428571428571425E-2</v>
      </c>
      <c r="G36">
        <v>0.22857142857142859</v>
      </c>
    </row>
    <row r="37" spans="1:7" x14ac:dyDescent="0.15">
      <c r="A37" t="str">
        <f>HYPERLINK("./new_k5/query_cmdrels_weight_analyze/0.3_0.6_0.1/au_153976.xlsx","au_153976")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0.16666666666666671</v>
      </c>
      <c r="F37">
        <v>0.33333333333333331</v>
      </c>
      <c r="G37">
        <v>0.35</v>
      </c>
    </row>
    <row r="38" spans="1:7" x14ac:dyDescent="0.15">
      <c r="A38" t="str">
        <f>HYPERLINK("./new_k5/query_cmdrels_weight_analyze/0.3_0.6_0.1/au_154431.xlsx","au_154431")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HYPERLINK("./new_k5/query_cmdrels_weight_analyze/0.3_0.6_0.1/au_159708.xlsx","au_159708")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0.33333333333333331</v>
      </c>
      <c r="F39">
        <v>0.33333333333333331</v>
      </c>
      <c r="G39">
        <v>0.5</v>
      </c>
    </row>
    <row r="40" spans="1:7" x14ac:dyDescent="0.15">
      <c r="A40" t="str">
        <f>HYPERLINK("./new_k5/query_cmdrels_weight_analyze/0.3_0.6_0.1/au_160869.xlsx","au_160869")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HYPERLINK("./new_k5/query_cmdrels_weight_analyze/0.3_0.6_0.1/au_161313.xlsx","au_161313")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0.125</v>
      </c>
    </row>
    <row r="42" spans="1:7" x14ac:dyDescent="0.15">
      <c r="A42" t="str">
        <f>HYPERLINK("./new_k5/query_cmdrels_weight_analyze/0.3_0.6_0.1/au_162075.xlsx","au_162075")</f>
        <v>au_162075</v>
      </c>
      <c r="B42">
        <v>0.25</v>
      </c>
      <c r="C42">
        <v>0</v>
      </c>
      <c r="D42">
        <v>0.5</v>
      </c>
      <c r="E42">
        <v>8.3333333333333329E-2</v>
      </c>
      <c r="F42">
        <v>0.5</v>
      </c>
      <c r="G42">
        <v>0.18333333333333329</v>
      </c>
    </row>
    <row r="43" spans="1:7" x14ac:dyDescent="0.15">
      <c r="A43" t="str">
        <f>HYPERLINK("./new_k5/query_cmdrels_weight_analyze/0.3_0.6_0.1/au_16277.xlsx","au_16277")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0.83333333333333337</v>
      </c>
    </row>
    <row r="44" spans="1:7" x14ac:dyDescent="0.15">
      <c r="A44" t="str">
        <f>HYPERLINK("./new_k5/query_cmdrels_weight_analyze/0.3_0.6_0.1/au_163155.xlsx","au_163155")</f>
        <v>au_163155</v>
      </c>
      <c r="B44">
        <v>0.125</v>
      </c>
      <c r="C44">
        <v>0.125</v>
      </c>
      <c r="D44">
        <v>0.375</v>
      </c>
      <c r="E44">
        <v>0.20833333333333329</v>
      </c>
      <c r="F44">
        <v>0.5</v>
      </c>
      <c r="G44">
        <v>0.40208333333333329</v>
      </c>
    </row>
    <row r="45" spans="1:7" x14ac:dyDescent="0.15">
      <c r="A45" t="str">
        <f>HYPERLINK("./new_k5/query_cmdrels_weight_analyze/0.3_0.6_0.1/au_164473.xlsx","au_164473")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HYPERLINK("./new_k5/query_cmdrels_weight_analyze/0.3_0.6_0.1/au_16584.xlsx","au_16584")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0.15151515151515149</v>
      </c>
      <c r="F46">
        <v>0.13636363636363641</v>
      </c>
      <c r="G46">
        <v>0.2196969696969697</v>
      </c>
    </row>
    <row r="47" spans="1:7" x14ac:dyDescent="0.15">
      <c r="A47" t="str">
        <f>HYPERLINK("./new_k5/query_cmdrels_weight_analyze/0.3_0.6_0.1/au_166420.xlsx","au_166420")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HYPERLINK("./new_k5/query_cmdrels_weight_analyze/0.3_0.6_0.1/au_169473.xlsx","au_169473")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0.33333333333333331</v>
      </c>
      <c r="F48">
        <v>0.43333333333333329</v>
      </c>
      <c r="G48">
        <v>0.33333333333333331</v>
      </c>
    </row>
    <row r="49" spans="1:7" x14ac:dyDescent="0.15">
      <c r="A49" t="str">
        <f>HYPERLINK("./new_k5/query_cmdrels_weight_analyze/0.3_0.6_0.1/au_169516.xlsx","au_169516")</f>
        <v>au_169516</v>
      </c>
      <c r="B49">
        <v>0.25</v>
      </c>
      <c r="C49">
        <v>0.25</v>
      </c>
      <c r="D49">
        <v>0.25</v>
      </c>
      <c r="E49">
        <v>0.5</v>
      </c>
      <c r="F49">
        <v>0.25</v>
      </c>
      <c r="G49">
        <v>0.5</v>
      </c>
    </row>
    <row r="50" spans="1:7" x14ac:dyDescent="0.15">
      <c r="A50" t="str">
        <f>HYPERLINK("./new_k5/query_cmdrels_weight_analyze/0.3_0.6_0.1/au_174292.xlsx","au_174292")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HYPERLINK("./new_k5/query_cmdrels_weight_analyze/0.3_0.6_0.1/au_178481.xlsx","au_178481")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HYPERLINK("./new_k5/query_cmdrels_weight_analyze/0.3_0.6_0.1/au_180925.xlsx","au_180925")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HYPERLINK("./new_k5/query_cmdrels_weight_analyze/0.3_0.6_0.1/au_187888.xlsx","au_187888")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HYPERLINK("./new_k5/query_cmdrels_weight_analyze/0.3_0.6_0.1/au_191390.xlsx","au_191390")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HYPERLINK("./new_k5/query_cmdrels_weight_analyze/0.3_0.6_0.1/au_192798.xlsx","au_192798")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HYPERLINK("./new_k5/query_cmdrels_weight_analyze/0.3_0.6_0.1/au_201775.xlsx","au_201775")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0.33333333333333331</v>
      </c>
      <c r="F56">
        <v>0.66666666666666663</v>
      </c>
      <c r="G56">
        <v>0.70000000000000007</v>
      </c>
    </row>
    <row r="57" spans="1:7" x14ac:dyDescent="0.15">
      <c r="A57" t="str">
        <f>HYPERLINK("./new_k5/query_cmdrels_weight_analyze/0.3_0.6_0.1/au_204166.xlsx","au_204166")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HYPERLINK("./new_k5/query_cmdrels_weight_analyze/0.3_0.6_0.1/au_207447.xlsx","au_207447")</f>
        <v>au_207447</v>
      </c>
      <c r="B58">
        <v>0.33333333333333331</v>
      </c>
      <c r="C58">
        <v>0</v>
      </c>
      <c r="D58">
        <v>0.33333333333333331</v>
      </c>
      <c r="E58">
        <v>0</v>
      </c>
      <c r="F58">
        <v>0.33333333333333331</v>
      </c>
      <c r="G58">
        <v>0</v>
      </c>
    </row>
    <row r="59" spans="1:7" x14ac:dyDescent="0.15">
      <c r="A59" t="str">
        <f>HYPERLINK("./new_k5/query_cmdrels_weight_analyze/0.3_0.6_0.1/au_210680.xlsx","au_210680")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HYPERLINK("./new_k5/query_cmdrels_weight_analyze/0.3_0.6_0.1/au_214246.xlsx","au_214246")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HYPERLINK("./new_k5/query_cmdrels_weight_analyze/0.3_0.6_0.1/au_214643.xlsx","au_214643")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HYPERLINK("./new_k5/query_cmdrels_weight_analyze/0.3_0.6_0.1/au_2194.xlsx","au_2194")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HYPERLINK("./new_k5/query_cmdrels_weight_analyze/0.3_0.6_0.1/au_221962.xlsx","au_221962")</f>
        <v>au_221962</v>
      </c>
      <c r="B63">
        <v>0</v>
      </c>
      <c r="C63">
        <v>0</v>
      </c>
      <c r="D63">
        <v>5.5555555555555552E-2</v>
      </c>
      <c r="E63">
        <v>5.5555555555555552E-2</v>
      </c>
      <c r="F63">
        <v>0.1388888888888889</v>
      </c>
      <c r="G63">
        <v>0.23888888888888879</v>
      </c>
    </row>
    <row r="64" spans="1:7" x14ac:dyDescent="0.15">
      <c r="A64" t="str">
        <f>HYPERLINK("./new_k5/query_cmdrels_weight_analyze/0.3_0.6_0.1/au_22608.xlsx","au_22608")</f>
        <v>au_22608</v>
      </c>
      <c r="B64">
        <v>0.33333333333333331</v>
      </c>
      <c r="C64">
        <v>0</v>
      </c>
      <c r="D64">
        <v>0.33333333333333331</v>
      </c>
      <c r="E64">
        <v>0.16666666666666671</v>
      </c>
      <c r="F64">
        <v>0.33333333333333331</v>
      </c>
      <c r="G64">
        <v>0.33333333333333331</v>
      </c>
    </row>
    <row r="65" spans="1:7" x14ac:dyDescent="0.15">
      <c r="A65" t="str">
        <f>HYPERLINK("./new_k5/query_cmdrels_weight_analyze/0.3_0.6_0.1/au_230698.xlsx","au_230698")</f>
        <v>au_230698</v>
      </c>
      <c r="B65">
        <v>0.125</v>
      </c>
      <c r="C65">
        <v>0.125</v>
      </c>
      <c r="D65">
        <v>0.25</v>
      </c>
      <c r="E65">
        <v>0.20833333333333329</v>
      </c>
      <c r="F65">
        <v>0.32500000000000001</v>
      </c>
      <c r="G65">
        <v>0.28333333333333333</v>
      </c>
    </row>
    <row r="66" spans="1:7" x14ac:dyDescent="0.15">
      <c r="A66" t="str">
        <f>HYPERLINK("./new_k5/query_cmdrels_weight_analyze/0.3_0.6_0.1/au_232442.xlsx","au_232442")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HYPERLINK("./new_k5/query_cmdrels_weight_analyze/0.3_0.6_0.1/au_233378.xlsx","au_233378")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HYPERLINK("./new_k5/query_cmdrels_weight_analyze/0.3_0.6_0.1/au_24027.xlsx","au_24027")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HYPERLINK("./new_k5/query_cmdrels_weight_analyze/0.3_0.6_0.1/au_246647.xlsx","au_246647")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HYPERLINK("./new_k5/query_cmdrels_weight_analyze/0.3_0.6_0.1/au_254424.xlsx","au_254424")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HYPERLINK("./new_k5/query_cmdrels_weight_analyze/0.3_0.6_0.1/au_255890.xlsx","au_255890")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HYPERLINK("./new_k5/query_cmdrels_weight_analyze/0.3_0.6_0.1/au_257248.xlsx","au_257248")</f>
        <v>au_257248</v>
      </c>
      <c r="B72">
        <v>0</v>
      </c>
      <c r="C72">
        <v>0</v>
      </c>
      <c r="D72">
        <v>0.16666666666666671</v>
      </c>
      <c r="E72">
        <v>4.7619047619047623E-2</v>
      </c>
      <c r="F72">
        <v>0.25238095238095237</v>
      </c>
      <c r="G72">
        <v>0.119047619047619</v>
      </c>
    </row>
    <row r="73" spans="1:7" x14ac:dyDescent="0.15">
      <c r="A73" t="str">
        <f>HYPERLINK("./new_k5/query_cmdrels_weight_analyze/0.3_0.6_0.1/au_259354.xlsx","au_259354")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0.42857142857142849</v>
      </c>
    </row>
    <row r="74" spans="1:7" x14ac:dyDescent="0.15">
      <c r="A74" t="str">
        <f>HYPERLINK("./new_k5/query_cmdrels_weight_analyze/0.3_0.6_0.1/au_263378.xlsx","au_263378")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0.47499999999999998</v>
      </c>
    </row>
    <row r="75" spans="1:7" x14ac:dyDescent="0.15">
      <c r="A75" t="str">
        <f>HYPERLINK("./new_k5/query_cmdrels_weight_analyze/0.3_0.6_0.1/au_264215.xlsx","au_264215")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HYPERLINK("./new_k5/query_cmdrels_weight_analyze/0.3_0.6_0.1/au_265176.xlsx","au_265176")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HYPERLINK("./new_k5/query_cmdrels_weight_analyze/0.3_0.6_0.1/au_275704.xlsx","au_275704")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HYPERLINK("./new_k5/query_cmdrels_weight_analyze/0.3_0.6_0.1/au_276669.xlsx","au_276669")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HYPERLINK("./new_k5/query_cmdrels_weight_analyze/0.3_0.6_0.1/au_277565.xlsx","au_277565")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HYPERLINK("./new_k5/query_cmdrels_weight_analyze/0.3_0.6_0.1/au_278403.xlsx","au_278403")</f>
        <v>au_278403</v>
      </c>
      <c r="B80">
        <v>0</v>
      </c>
      <c r="C80">
        <v>0.25</v>
      </c>
      <c r="D80">
        <v>8.3333333333333329E-2</v>
      </c>
      <c r="E80">
        <v>0.25</v>
      </c>
      <c r="F80">
        <v>0.20833333333333329</v>
      </c>
      <c r="G80">
        <v>0.375</v>
      </c>
    </row>
    <row r="81" spans="1:7" x14ac:dyDescent="0.15">
      <c r="A81" t="str">
        <f>HYPERLINK("./new_k5/query_cmdrels_weight_analyze/0.3_0.6_0.1/au_28039.xlsx","au_28039")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HYPERLINK("./new_k5/query_cmdrels_weight_analyze/0.3_0.6_0.1/au_281509.xlsx","au_281509")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HYPERLINK("./new_k5/query_cmdrels_weight_analyze/0.3_0.6_0.1/au_282806.xlsx","au_282806")</f>
        <v>au_282806</v>
      </c>
      <c r="B83">
        <v>0</v>
      </c>
      <c r="C83">
        <v>0.33333333333333331</v>
      </c>
      <c r="D83">
        <v>0.38888888888888878</v>
      </c>
      <c r="E83">
        <v>0.55555555555555547</v>
      </c>
      <c r="F83">
        <v>0.38888888888888878</v>
      </c>
      <c r="G83">
        <v>0.80555555555555547</v>
      </c>
    </row>
    <row r="84" spans="1:7" x14ac:dyDescent="0.15">
      <c r="A84" t="str">
        <f>HYPERLINK("./new_k5/query_cmdrels_weight_analyze/0.3_0.6_0.1/au_283559.xlsx","au_283559")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HYPERLINK("./new_k5/query_cmdrels_weight_analyze/0.3_0.6_0.1/au_285539.xlsx","au_285539")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HYPERLINK("./new_k5/query_cmdrels_weight_analyze/0.3_0.6_0.1/au_287532.xlsx","au_287532")</f>
        <v>au_287532</v>
      </c>
      <c r="B86">
        <v>0</v>
      </c>
      <c r="C86">
        <v>0.25</v>
      </c>
      <c r="D86">
        <v>0</v>
      </c>
      <c r="E86">
        <v>0.41666666666666657</v>
      </c>
      <c r="F86">
        <v>0</v>
      </c>
      <c r="G86">
        <v>0.41666666666666657</v>
      </c>
    </row>
    <row r="87" spans="1:7" x14ac:dyDescent="0.15">
      <c r="A87" t="str">
        <f>HYPERLINK("./new_k5/query_cmdrels_weight_analyze/0.3_0.6_0.1/au_294257.xlsx","au_294257")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HYPERLINK("./new_k5/query_cmdrels_weight_analyze/0.3_0.6_0.1/au_296155.xlsx","au_296155")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HYPERLINK("./new_k5/query_cmdrels_weight_analyze/0.3_0.6_0.1/au_299975.xlsx","au_299975")</f>
        <v>au_299975</v>
      </c>
      <c r="B89">
        <v>0.25</v>
      </c>
      <c r="C89">
        <v>0</v>
      </c>
      <c r="D89">
        <v>0.5</v>
      </c>
      <c r="E89">
        <v>8.3333333333333329E-2</v>
      </c>
      <c r="F89">
        <v>0.6875</v>
      </c>
      <c r="G89">
        <v>0.20833333333333329</v>
      </c>
    </row>
    <row r="90" spans="1:7" x14ac:dyDescent="0.15">
      <c r="A90" t="str">
        <f>HYPERLINK("./new_k5/query_cmdrels_weight_analyze/0.3_0.6_0.1/au_301096.xlsx","au_301096")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HYPERLINK("./new_k5/query_cmdrels_weight_analyze/0.3_0.6_0.1/au_303593.xlsx","au_303593")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HYPERLINK("./new_k5/query_cmdrels_weight_analyze/0.3_0.6_0.1/au_303849.xlsx","au_303849")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HYPERLINK("./new_k5/query_cmdrels_weight_analyze/0.3_0.6_0.1/au_307541.xlsx","au_307541")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HYPERLINK("./new_k5/query_cmdrels_weight_analyze/0.3_0.6_0.1/au_307688.xlsx","au_307688")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HYPERLINK("./new_k5/query_cmdrels_weight_analyze/0.3_0.6_0.1/au_309047.xlsx","au_309047")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HYPERLINK("./new_k5/query_cmdrels_weight_analyze/0.3_0.6_0.1/au_311558.xlsx","au_311558")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0.41666666666666657</v>
      </c>
    </row>
    <row r="97" spans="1:7" x14ac:dyDescent="0.15">
      <c r="A97" t="str">
        <f>HYPERLINK("./new_k5/query_cmdrels_weight_analyze/0.3_0.6_0.1/au_318973.xlsx","au_318973")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HYPERLINK("./new_k5/query_cmdrels_weight_analyze/0.3_0.6_0.1/au_3205.xlsx","au_3205")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HYPERLINK("./new_k5/query_cmdrels_weight_analyze/0.3_0.6_0.1/au_323131.xlsx","au_323131")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HYPERLINK("./new_k5/query_cmdrels_weight_analyze/0.3_0.6_0.1/au_323392.xlsx","au_323392")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HYPERLINK("./new_k5/query_cmdrels_weight_analyze/0.3_0.6_0.1/au_325368.xlsx","au_325368")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HYPERLINK("./new_k5/query_cmdrels_weight_analyze/0.3_0.6_0.1/au_328162.xlsx","au_328162")</f>
        <v>au_328162</v>
      </c>
      <c r="B102">
        <v>0.33333333333333331</v>
      </c>
      <c r="C102">
        <v>0.33333333333333331</v>
      </c>
      <c r="D102">
        <v>1</v>
      </c>
      <c r="E102">
        <v>0.33333333333333331</v>
      </c>
      <c r="F102">
        <v>1</v>
      </c>
      <c r="G102">
        <v>0.5</v>
      </c>
    </row>
    <row r="103" spans="1:7" x14ac:dyDescent="0.15">
      <c r="A103" t="str">
        <f>HYPERLINK("./new_k5/query_cmdrels_weight_analyze/0.3_0.6_0.1/au_330148.xlsx","au_330148")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HYPERLINK("./new_k5/query_cmdrels_weight_analyze/0.3_0.6_0.1/au_332315.xlsx","au_332315")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HYPERLINK("./new_k5/query_cmdrels_weight_analyze/0.3_0.6_0.1/au_334081.xlsx","au_334081")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HYPERLINK("./new_k5/query_cmdrels_weight_analyze/0.3_0.6_0.1/au_34077.xlsx","au_34077")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0.5</v>
      </c>
      <c r="F106">
        <v>0.33333333333333331</v>
      </c>
      <c r="G106">
        <v>0.6333333333333333</v>
      </c>
    </row>
    <row r="107" spans="1:7" x14ac:dyDescent="0.15">
      <c r="A107" t="str">
        <f>HYPERLINK("./new_k5/query_cmdrels_weight_analyze/0.3_0.6_0.1/au_341428.xlsx","au_341428")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HYPERLINK("./new_k5/query_cmdrels_weight_analyze/0.3_0.6_0.1/au_341584.xlsx","au_341584")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HYPERLINK("./new_k5/query_cmdrels_weight_analyze/0.3_0.6_0.1/au_346864.xlsx","au_346864")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0.14285714285714279</v>
      </c>
      <c r="F109">
        <v>0.23809523809523811</v>
      </c>
      <c r="G109">
        <v>0.2142857142857143</v>
      </c>
    </row>
    <row r="110" spans="1:7" x14ac:dyDescent="0.15">
      <c r="A110" t="str">
        <f>HYPERLINK("./new_k5/query_cmdrels_weight_analyze/0.3_0.6_0.1/au_351765.xlsx","au_351765")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0.5</v>
      </c>
    </row>
    <row r="111" spans="1:7" x14ac:dyDescent="0.15">
      <c r="A111" t="str">
        <f>HYPERLINK("./new_k5/query_cmdrels_weight_analyze/0.3_0.6_0.1/au_35922.xlsx","au_35922")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HYPERLINK("./new_k5/query_cmdrels_weight_analyze/0.3_0.6_0.1/au_359856.xlsx","au_359856")</f>
        <v>au_359856</v>
      </c>
      <c r="B112">
        <v>0.25</v>
      </c>
      <c r="C112">
        <v>0.25</v>
      </c>
      <c r="D112">
        <v>0.75</v>
      </c>
      <c r="E112">
        <v>0.25</v>
      </c>
      <c r="F112">
        <v>0.95</v>
      </c>
      <c r="G112">
        <v>0.375</v>
      </c>
    </row>
    <row r="113" spans="1:7" x14ac:dyDescent="0.15">
      <c r="A113" t="str">
        <f>HYPERLINK("./new_k5/query_cmdrels_weight_analyze/0.3_0.6_0.1/au_360423.xlsx","au_360423")</f>
        <v>au_360423</v>
      </c>
      <c r="B113">
        <v>0</v>
      </c>
      <c r="C113">
        <v>0</v>
      </c>
      <c r="D113">
        <v>0</v>
      </c>
      <c r="E113">
        <v>0.25</v>
      </c>
      <c r="F113">
        <v>0</v>
      </c>
      <c r="G113">
        <v>0.25</v>
      </c>
    </row>
    <row r="114" spans="1:7" x14ac:dyDescent="0.15">
      <c r="A114" t="str">
        <f>HYPERLINK("./new_k5/query_cmdrels_weight_analyze/0.3_0.6_0.1/au_36287.xlsx","au_36287")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HYPERLINK("./new_k5/query_cmdrels_weight_analyze/0.3_0.6_0.1/au_366742.xlsx","au_366742")</f>
        <v>au_366742</v>
      </c>
      <c r="B115">
        <v>0</v>
      </c>
      <c r="C115">
        <v>0</v>
      </c>
      <c r="D115">
        <v>0</v>
      </c>
      <c r="E115">
        <v>0.125</v>
      </c>
      <c r="F115">
        <v>0</v>
      </c>
      <c r="G115">
        <v>0.22500000000000001</v>
      </c>
    </row>
    <row r="116" spans="1:7" x14ac:dyDescent="0.15">
      <c r="A116" t="str">
        <f>HYPERLINK("./new_k5/query_cmdrels_weight_analyze/0.3_0.6_0.1/au_377937.xlsx","au_377937")</f>
        <v>au_377937</v>
      </c>
      <c r="B116">
        <v>0.25</v>
      </c>
      <c r="C116">
        <v>0.25</v>
      </c>
      <c r="D116">
        <v>0.5</v>
      </c>
      <c r="E116">
        <v>0.5</v>
      </c>
      <c r="F116">
        <v>0.5</v>
      </c>
      <c r="G116">
        <v>0.6875</v>
      </c>
    </row>
    <row r="117" spans="1:7" x14ac:dyDescent="0.15">
      <c r="A117" t="str">
        <f>HYPERLINK("./new_k5/query_cmdrels_weight_analyze/0.3_0.6_0.1/au_383997.xlsx","au_383997")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0.2857142857142857</v>
      </c>
    </row>
    <row r="118" spans="1:7" x14ac:dyDescent="0.15">
      <c r="A118" t="str">
        <f>HYPERLINK("./new_k5/query_cmdrels_weight_analyze/0.3_0.6_0.1/au_3883.xlsx","au_3883")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0.35</v>
      </c>
    </row>
    <row r="119" spans="1:7" x14ac:dyDescent="0.15">
      <c r="A119" t="str">
        <f>HYPERLINK("./new_k5/query_cmdrels_weight_analyze/0.3_0.6_0.1/au_396883.xlsx","au_396883")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HYPERLINK("./new_k5/query_cmdrels_weight_analyze/0.3_0.6_0.1/au_39760.xlsx","au_39760")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HYPERLINK("./new_k5/query_cmdrels_weight_analyze/0.3_0.6_0.1/au_398818.xlsx","au_398818")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HYPERLINK("./new_k5/query_cmdrels_weight_analyze/0.3_0.6_0.1/au_400807.xlsx","au_400807")</f>
        <v>au_400807</v>
      </c>
      <c r="B122">
        <v>0</v>
      </c>
      <c r="C122">
        <v>0.33333333333333331</v>
      </c>
      <c r="D122">
        <v>0.16666666666666671</v>
      </c>
      <c r="E122">
        <v>0.55555555555555547</v>
      </c>
      <c r="F122">
        <v>0.16666666666666671</v>
      </c>
      <c r="G122">
        <v>0.75555555555555554</v>
      </c>
    </row>
    <row r="123" spans="1:7" x14ac:dyDescent="0.15">
      <c r="A123" t="str">
        <f>HYPERLINK("./new_k5/query_cmdrels_weight_analyze/0.3_0.6_0.1/au_408611.xlsx","au_408611")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HYPERLINK("./new_k5/query_cmdrels_weight_analyze/0.3_0.6_0.1/au_414737.xlsx","au_414737")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HYPERLINK("./new_k5/query_cmdrels_weight_analyze/0.3_0.6_0.1/au_420722.xlsx","au_420722")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HYPERLINK("./new_k5/query_cmdrels_weight_analyze/0.3_0.6_0.1/au_423942.xlsx","au_423942")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HYPERLINK("./new_k5/query_cmdrels_weight_analyze/0.3_0.6_0.1/au_430382.xlsx","au_430382")</f>
        <v>au_430382</v>
      </c>
      <c r="B127">
        <v>0</v>
      </c>
      <c r="C127">
        <v>0.25</v>
      </c>
      <c r="D127">
        <v>0.29166666666666657</v>
      </c>
      <c r="E127">
        <v>0.5</v>
      </c>
      <c r="F127">
        <v>0.29166666666666657</v>
      </c>
      <c r="G127">
        <v>0.5</v>
      </c>
    </row>
    <row r="128" spans="1:7" x14ac:dyDescent="0.15">
      <c r="A128" t="str">
        <f>HYPERLINK("./new_k5/query_cmdrels_weight_analyze/0.3_0.6_0.1/au_432836.xlsx","au_432836")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HYPERLINK("./new_k5/query_cmdrels_weight_analyze/0.3_0.6_0.1/au_440326.xlsx","au_440326")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HYPERLINK("./new_k5/query_cmdrels_weight_analyze/0.3_0.6_0.1/au_442914.xlsx","au_442914")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HYPERLINK("./new_k5/query_cmdrels_weight_analyze/0.3_0.6_0.1/au_443227.xlsx","au_443227")</f>
        <v>au_443227</v>
      </c>
      <c r="B131">
        <v>0.5</v>
      </c>
      <c r="C131">
        <v>0</v>
      </c>
      <c r="D131">
        <v>0.5</v>
      </c>
      <c r="E131">
        <v>0</v>
      </c>
      <c r="F131">
        <v>0.5</v>
      </c>
      <c r="G131">
        <v>0.1</v>
      </c>
    </row>
    <row r="132" spans="1:7" x14ac:dyDescent="0.15">
      <c r="A132" t="str">
        <f>HYPERLINK("./new_k5/query_cmdrels_weight_analyze/0.3_0.6_0.1/au_44534.xlsx","au_44534")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HYPERLINK("./new_k5/query_cmdrels_weight_analyze/0.3_0.6_0.1/au_451805.xlsx","au_451805")</f>
        <v>au_451805</v>
      </c>
      <c r="B133">
        <v>0.33333333333333331</v>
      </c>
      <c r="C133">
        <v>0.33333333333333331</v>
      </c>
      <c r="D133">
        <v>0.33333333333333331</v>
      </c>
      <c r="E133">
        <v>0.33333333333333331</v>
      </c>
      <c r="F133">
        <v>0.33333333333333331</v>
      </c>
      <c r="G133">
        <v>0.33333333333333331</v>
      </c>
    </row>
    <row r="134" spans="1:7" x14ac:dyDescent="0.15">
      <c r="A134" t="str">
        <f>HYPERLINK("./new_k5/query_cmdrels_weight_analyze/0.3_0.6_0.1/au_464264.xlsx","au_464264")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0.16666666666666671</v>
      </c>
    </row>
    <row r="135" spans="1:7" x14ac:dyDescent="0.15">
      <c r="A135" t="str">
        <f>HYPERLINK("./new_k5/query_cmdrels_weight_analyze/0.3_0.6_0.1/au_468808.xlsx","au_468808")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HYPERLINK("./new_k5/query_cmdrels_weight_analyze/0.3_0.6_0.1/au_469143.xlsx","au_469143")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HYPERLINK("./new_k5/query_cmdrels_weight_analyze/0.3_0.6_0.1/au_470237.xlsx","au_470237")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HYPERLINK("./new_k5/query_cmdrels_weight_analyze/0.3_0.6_0.1/au_473037.xlsx","au_473037")</f>
        <v>au_473037</v>
      </c>
      <c r="B138">
        <v>0.5</v>
      </c>
      <c r="C138">
        <v>0</v>
      </c>
      <c r="D138">
        <v>0.83333333333333326</v>
      </c>
      <c r="E138">
        <v>0.16666666666666671</v>
      </c>
      <c r="F138">
        <v>0.83333333333333326</v>
      </c>
      <c r="G138">
        <v>0.16666666666666671</v>
      </c>
    </row>
    <row r="139" spans="1:7" x14ac:dyDescent="0.15">
      <c r="A139" t="str">
        <f>HYPERLINK("./new_k5/query_cmdrels_weight_analyze/0.3_0.6_0.1/au_48362.xlsx","au_48362")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HYPERLINK("./new_k5/query_cmdrels_weight_analyze/0.3_0.6_0.1/au_488435.xlsx","au_488435")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HYPERLINK("./new_k5/query_cmdrels_weight_analyze/0.3_0.6_0.1/au_493826.xlsx","au_493826")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0.23809523809523811</v>
      </c>
      <c r="F141">
        <v>0.14285714285714279</v>
      </c>
      <c r="G141">
        <v>0.23809523809523811</v>
      </c>
    </row>
    <row r="142" spans="1:7" x14ac:dyDescent="0.15">
      <c r="A142" t="str">
        <f>HYPERLINK("./new_k5/query_cmdrels_weight_analyze/0.3_0.6_0.1/au_502110.xlsx","au_502110")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HYPERLINK("./new_k5/query_cmdrels_weight_analyze/0.3_0.6_0.1/au_50344.xlsx","au_50344")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HYPERLINK("./new_k5/query_cmdrels_weight_analyze/0.3_0.6_0.1/au_511467.xlsx","au_511467")</f>
        <v>au_511467</v>
      </c>
      <c r="B144">
        <v>0</v>
      </c>
      <c r="C144">
        <v>0.16666666666666671</v>
      </c>
      <c r="D144">
        <v>0.19444444444444439</v>
      </c>
      <c r="E144">
        <v>0.33333333333333331</v>
      </c>
      <c r="F144">
        <v>0.19444444444444439</v>
      </c>
      <c r="G144">
        <v>0.45833333333333331</v>
      </c>
    </row>
    <row r="145" spans="1:7" x14ac:dyDescent="0.15">
      <c r="A145" t="str">
        <f>HYPERLINK("./new_k5/query_cmdrels_weight_analyze/0.3_0.6_0.1/au_513046.xlsx","au_513046")</f>
        <v>au_513046</v>
      </c>
      <c r="B145">
        <v>0.25</v>
      </c>
      <c r="C145">
        <v>0</v>
      </c>
      <c r="D145">
        <v>0.5</v>
      </c>
      <c r="E145">
        <v>8.3333333333333329E-2</v>
      </c>
      <c r="F145">
        <v>0.5</v>
      </c>
      <c r="G145">
        <v>0.35833333333333328</v>
      </c>
    </row>
    <row r="146" spans="1:7" x14ac:dyDescent="0.15">
      <c r="A146" t="str">
        <f>HYPERLINK("./new_k5/query_cmdrels_weight_analyze/0.3_0.6_0.1/au_517354.xlsx","au_517354")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0.34523809523809518</v>
      </c>
    </row>
    <row r="147" spans="1:7" x14ac:dyDescent="0.15">
      <c r="A147" t="str">
        <f>HYPERLINK("./new_k5/query_cmdrels_weight_analyze/0.3_0.6_0.1/au_522431.xlsx","au_522431")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0.3833333333333333</v>
      </c>
    </row>
    <row r="148" spans="1:7" x14ac:dyDescent="0.15">
      <c r="A148" t="str">
        <f>HYPERLINK("./new_k5/query_cmdrels_weight_analyze/0.3_0.6_0.1/au_52773.xlsx","au_52773")</f>
        <v>au_52773</v>
      </c>
      <c r="B148">
        <v>0</v>
      </c>
      <c r="C148">
        <v>0</v>
      </c>
      <c r="D148">
        <v>0.23333333333333331</v>
      </c>
      <c r="E148">
        <v>6.6666666666666666E-2</v>
      </c>
      <c r="F148">
        <v>0.23333333333333331</v>
      </c>
      <c r="G148">
        <v>6.6666666666666666E-2</v>
      </c>
    </row>
    <row r="149" spans="1:7" x14ac:dyDescent="0.15">
      <c r="A149" t="str">
        <f>HYPERLINK("./new_k5/query_cmdrels_weight_analyze/0.3_0.6_0.1/au_528411.xlsx","au_528411")</f>
        <v>au_528411</v>
      </c>
      <c r="B149">
        <v>0</v>
      </c>
      <c r="C149">
        <v>0</v>
      </c>
      <c r="D149">
        <v>0</v>
      </c>
      <c r="E149">
        <v>0.16666666666666671</v>
      </c>
      <c r="F149">
        <v>0</v>
      </c>
      <c r="G149">
        <v>0.16666666666666671</v>
      </c>
    </row>
    <row r="150" spans="1:7" x14ac:dyDescent="0.15">
      <c r="A150" t="str">
        <f>HYPERLINK("./new_k5/query_cmdrels_weight_analyze/0.3_0.6_0.1/au_53263.xlsx","au_53263")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1</v>
      </c>
    </row>
    <row r="151" spans="1:7" x14ac:dyDescent="0.15">
      <c r="A151" t="str">
        <f>HYPERLINK("./new_k5/query_cmdrels_weight_analyze/0.3_0.6_0.1/au_53444.xlsx","au_53444")</f>
        <v>au_53444</v>
      </c>
      <c r="B151">
        <v>0.5</v>
      </c>
      <c r="C151">
        <v>0</v>
      </c>
      <c r="D151">
        <v>0.5</v>
      </c>
      <c r="E151">
        <v>0.16666666666666671</v>
      </c>
      <c r="F151">
        <v>0.5</v>
      </c>
      <c r="G151">
        <v>0.16666666666666671</v>
      </c>
    </row>
    <row r="152" spans="1:7" x14ac:dyDescent="0.15">
      <c r="A152" t="str">
        <f>HYPERLINK("./new_k5/query_cmdrels_weight_analyze/0.3_0.6_0.1/au_538208.xlsx","au_538208")</f>
        <v>au_538208</v>
      </c>
      <c r="B152">
        <v>0.125</v>
      </c>
      <c r="C152">
        <v>0.125</v>
      </c>
      <c r="D152">
        <v>0.375</v>
      </c>
      <c r="E152">
        <v>0.25</v>
      </c>
      <c r="F152">
        <v>0.5</v>
      </c>
      <c r="G152">
        <v>0.44374999999999998</v>
      </c>
    </row>
    <row r="153" spans="1:7" x14ac:dyDescent="0.15">
      <c r="A153" t="str">
        <f>HYPERLINK("./new_k5/query_cmdrels_weight_analyze/0.3_0.6_0.1/au_53822.xlsx","au_53822")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HYPERLINK("./new_k5/query_cmdrels_weight_analyze/0.3_0.6_0.1/au_539243.xlsx","au_539243")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</v>
      </c>
    </row>
    <row r="155" spans="1:7" x14ac:dyDescent="0.15">
      <c r="A155" t="str">
        <f>HYPERLINK("./new_k5/query_cmdrels_weight_analyze/0.3_0.6_0.1/au_558280.xlsx","au_558280")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HYPERLINK("./new_k5/query_cmdrels_weight_analyze/0.3_0.6_0.1/au_558669.xlsx","au_558669")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HYPERLINK("./new_k5/query_cmdrels_weight_analyze/0.3_0.6_0.1/au_55868.xlsx","au_55868")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HYPERLINK("./new_k5/query_cmdrels_weight_analyze/0.3_0.6_0.1/au_561.xlsx","au_561")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0.65</v>
      </c>
    </row>
    <row r="159" spans="1:7" x14ac:dyDescent="0.15">
      <c r="A159" t="str">
        <f>HYPERLINK("./new_k5/query_cmdrels_weight_analyze/0.3_0.6_0.1/au_564567.xlsx","au_564567")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HYPERLINK("./new_k5/query_cmdrels_weight_analyze/0.3_0.6_0.1/au_57994.xlsx","au_57994")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0.5714285714285714</v>
      </c>
    </row>
    <row r="161" spans="1:7" x14ac:dyDescent="0.15">
      <c r="A161" t="str">
        <f>HYPERLINK("./new_k5/query_cmdrels_weight_analyze/0.3_0.6_0.1/au_589210.xlsx","au_589210")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0.35</v>
      </c>
    </row>
    <row r="162" spans="1:7" x14ac:dyDescent="0.15">
      <c r="A162" t="str">
        <f>HYPERLINK("./new_k5/query_cmdrels_weight_analyze/0.3_0.6_0.1/au_5911.xlsx","au_5911")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HYPERLINK("./new_k5/query_cmdrels_weight_analyze/0.3_0.6_0.1/au_59356.xlsx","au_59356")</f>
        <v>au_59356</v>
      </c>
      <c r="B163">
        <v>0</v>
      </c>
      <c r="C163">
        <v>0</v>
      </c>
      <c r="D163">
        <v>0.16666666666666671</v>
      </c>
      <c r="E163">
        <v>0</v>
      </c>
      <c r="F163">
        <v>0.16666666666666671</v>
      </c>
      <c r="G163">
        <v>0</v>
      </c>
    </row>
    <row r="164" spans="1:7" x14ac:dyDescent="0.15">
      <c r="A164" t="str">
        <f>HYPERLINK("./new_k5/query_cmdrels_weight_analyze/0.3_0.6_0.1/au_609850.xlsx","au_609850")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HYPERLINK("./new_k5/query_cmdrels_weight_analyze/0.3_0.6_0.1/au_61408.xlsx","au_61408")</f>
        <v>au_61408</v>
      </c>
      <c r="B165">
        <v>0</v>
      </c>
      <c r="C165">
        <v>0.33333333333333331</v>
      </c>
      <c r="D165">
        <v>0.16666666666666671</v>
      </c>
      <c r="E165">
        <v>0.33333333333333331</v>
      </c>
      <c r="F165">
        <v>0.16666666666666671</v>
      </c>
      <c r="G165">
        <v>0.33333333333333331</v>
      </c>
    </row>
    <row r="166" spans="1:7" x14ac:dyDescent="0.15">
      <c r="A166" t="str">
        <f>HYPERLINK("./new_k5/query_cmdrels_weight_analyze/0.3_0.6_0.1/au_617850.xlsx","au_617850")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HYPERLINK("./new_k5/query_cmdrels_weight_analyze/0.3_0.6_0.1/au_62073.xlsx","au_62073")</f>
        <v>au_62073</v>
      </c>
      <c r="B167">
        <v>0</v>
      </c>
      <c r="C167">
        <v>0.2</v>
      </c>
      <c r="D167">
        <v>0.23333333333333331</v>
      </c>
      <c r="E167">
        <v>0.33333333333333331</v>
      </c>
      <c r="F167">
        <v>0.23333333333333331</v>
      </c>
      <c r="G167">
        <v>0.48333333333333328</v>
      </c>
    </row>
    <row r="168" spans="1:7" x14ac:dyDescent="0.15">
      <c r="A168" t="str">
        <f>HYPERLINK("./new_k5/query_cmdrels_weight_analyze/0.3_0.6_0.1/au_620930.xlsx","au_620930")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0.45333333333333331</v>
      </c>
    </row>
    <row r="169" spans="1:7" x14ac:dyDescent="0.15">
      <c r="A169" t="str">
        <f>HYPERLINK("./new_k5/query_cmdrels_weight_analyze/0.3_0.6_0.1/au_62492.xlsx","au_62492")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HYPERLINK("./new_k5/query_cmdrels_weight_analyze/0.3_0.6_0.1/au_626078.xlsx","au_626078")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HYPERLINK("./new_k5/query_cmdrels_weight_analyze/0.3_0.6_0.1/au_636944.xlsx","au_636944")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HYPERLINK("./new_k5/query_cmdrels_weight_analyze/0.3_0.6_0.1/au_648603.xlsx","au_648603")</f>
        <v>au_648603</v>
      </c>
      <c r="B172">
        <v>0.25</v>
      </c>
      <c r="C172">
        <v>0.25</v>
      </c>
      <c r="D172">
        <v>0.25</v>
      </c>
      <c r="E172">
        <v>0.25</v>
      </c>
      <c r="F172">
        <v>0.25</v>
      </c>
      <c r="G172">
        <v>0.35</v>
      </c>
    </row>
    <row r="173" spans="1:7" x14ac:dyDescent="0.15">
      <c r="A173" t="str">
        <f>HYPERLINK("./new_k5/query_cmdrels_weight_analyze/0.3_0.6_0.1/au_65331.xlsx","au_65331")</f>
        <v>au_65331</v>
      </c>
      <c r="B173">
        <v>0</v>
      </c>
      <c r="C173">
        <v>0.16666666666666671</v>
      </c>
      <c r="D173">
        <v>8.3333333333333329E-2</v>
      </c>
      <c r="E173">
        <v>0.27777777777777768</v>
      </c>
      <c r="F173">
        <v>0.16666666666666671</v>
      </c>
      <c r="G173">
        <v>0.27777777777777768</v>
      </c>
    </row>
    <row r="174" spans="1:7" x14ac:dyDescent="0.15">
      <c r="A174" t="str">
        <f>HYPERLINK("./new_k5/query_cmdrels_weight_analyze/0.3_0.6_0.1/au_66000.xlsx","au_66000")</f>
        <v>au_66000</v>
      </c>
      <c r="B174">
        <v>0</v>
      </c>
      <c r="C174">
        <v>0</v>
      </c>
      <c r="D174">
        <v>0</v>
      </c>
      <c r="E174">
        <v>6.6666666666666666E-2</v>
      </c>
      <c r="F174">
        <v>0</v>
      </c>
      <c r="G174">
        <v>0.16666666666666671</v>
      </c>
    </row>
    <row r="175" spans="1:7" x14ac:dyDescent="0.15">
      <c r="A175" t="str">
        <f>HYPERLINK("./new_k5/query_cmdrels_weight_analyze/0.3_0.6_0.1/au_660846.xlsx","au_660846")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HYPERLINK("./new_k5/query_cmdrels_weight_analyze/0.3_0.6_0.1/au_662935.xlsx","au_662935")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0.34375</v>
      </c>
    </row>
    <row r="177" spans="1:7" x14ac:dyDescent="0.15">
      <c r="A177" t="str">
        <f>HYPERLINK("./new_k5/query_cmdrels_weight_analyze/0.3_0.6_0.1/au_67663.xlsx","au_67663")</f>
        <v>au_67663</v>
      </c>
      <c r="B177">
        <v>0</v>
      </c>
      <c r="C177">
        <v>0.25</v>
      </c>
      <c r="D177">
        <v>0.29166666666666657</v>
      </c>
      <c r="E177">
        <v>0.75</v>
      </c>
      <c r="F177">
        <v>0.29166666666666657</v>
      </c>
      <c r="G177">
        <v>0.75</v>
      </c>
    </row>
    <row r="178" spans="1:7" x14ac:dyDescent="0.15">
      <c r="A178" t="str">
        <f>HYPERLINK("./new_k5/query_cmdrels_weight_analyze/0.3_0.6_0.1/au_68028.xlsx","au_68028")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0.2857142857142857</v>
      </c>
      <c r="F178">
        <v>0.37142857142857139</v>
      </c>
      <c r="G178">
        <v>0.39285714285714279</v>
      </c>
    </row>
    <row r="179" spans="1:7" x14ac:dyDescent="0.15">
      <c r="A179" t="str">
        <f>HYPERLINK("./new_k5/query_cmdrels_weight_analyze/0.3_0.6_0.1/au_681312.xlsx","au_681312")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0.23809523809523811</v>
      </c>
      <c r="F179">
        <v>0.42857142857142849</v>
      </c>
      <c r="G179">
        <v>0.34523809523809518</v>
      </c>
    </row>
    <row r="180" spans="1:7" x14ac:dyDescent="0.15">
      <c r="A180" t="str">
        <f>HYPERLINK("./new_k5/query_cmdrels_weight_analyze/0.3_0.6_0.1/au_686239.xlsx","au_686239")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HYPERLINK("./new_k5/query_cmdrels_weight_analyze/0.3_0.6_0.1/au_68809.xlsx","au_68809")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0.28333333333333333</v>
      </c>
    </row>
    <row r="182" spans="1:7" x14ac:dyDescent="0.15">
      <c r="A182" t="str">
        <f>HYPERLINK("./new_k5/query_cmdrels_weight_analyze/0.3_0.6_0.1/au_69556.xlsx","au_69556")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HYPERLINK("./new_k5/query_cmdrels_weight_analyze/0.3_0.6_0.1/au_698993.xlsx","au_698993")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HYPERLINK("./new_k5/query_cmdrels_weight_analyze/0.3_0.6_0.1/au_707881.xlsx","au_707881")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HYPERLINK("./new_k5/query_cmdrels_weight_analyze/0.3_0.6_0.1/au_709594.xlsx","au_709594")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HYPERLINK("./new_k5/query_cmdrels_weight_analyze/0.3_0.6_0.1/au_71309.xlsx","au_71309")</f>
        <v>au_71309</v>
      </c>
      <c r="B186">
        <v>0.125</v>
      </c>
      <c r="C186">
        <v>0.125</v>
      </c>
      <c r="D186">
        <v>0.20833333333333329</v>
      </c>
      <c r="E186">
        <v>0.375</v>
      </c>
      <c r="F186">
        <v>0.20833333333333329</v>
      </c>
      <c r="G186">
        <v>0.375</v>
      </c>
    </row>
    <row r="187" spans="1:7" x14ac:dyDescent="0.15">
      <c r="A187" t="str">
        <f>HYPERLINK("./new_k5/query_cmdrels_weight_analyze/0.3_0.6_0.1/au_7138.xlsx","au_7138")</f>
        <v>au_7138</v>
      </c>
      <c r="B187">
        <v>0.25</v>
      </c>
      <c r="C187">
        <v>0</v>
      </c>
      <c r="D187">
        <v>0.75</v>
      </c>
      <c r="E187">
        <v>0</v>
      </c>
      <c r="F187">
        <v>0.75</v>
      </c>
      <c r="G187">
        <v>6.25E-2</v>
      </c>
    </row>
    <row r="188" spans="1:7" x14ac:dyDescent="0.15">
      <c r="A188" t="str">
        <f>HYPERLINK("./new_k5/query_cmdrels_weight_analyze/0.3_0.6_0.1/au_72549.xlsx","au_72549")</f>
        <v>au_72549</v>
      </c>
      <c r="B188">
        <v>0</v>
      </c>
      <c r="C188">
        <v>0.25</v>
      </c>
      <c r="D188">
        <v>0</v>
      </c>
      <c r="E188">
        <v>0.25</v>
      </c>
      <c r="F188">
        <v>0</v>
      </c>
      <c r="G188">
        <v>0.25</v>
      </c>
    </row>
    <row r="189" spans="1:7" x14ac:dyDescent="0.15">
      <c r="A189" t="str">
        <f>HYPERLINK("./new_k5/query_cmdrels_weight_analyze/0.3_0.6_0.1/au_740805.xlsx","au_740805")</f>
        <v>au_740805</v>
      </c>
      <c r="B189">
        <v>0.25</v>
      </c>
      <c r="C189">
        <v>0</v>
      </c>
      <c r="D189">
        <v>0.41666666666666657</v>
      </c>
      <c r="E189">
        <v>8.3333333333333329E-2</v>
      </c>
      <c r="F189">
        <v>0.41666666666666657</v>
      </c>
      <c r="G189">
        <v>0.18333333333333329</v>
      </c>
    </row>
    <row r="190" spans="1:7" x14ac:dyDescent="0.15">
      <c r="A190" t="str">
        <f>HYPERLINK("./new_k5/query_cmdrels_weight_analyze/0.3_0.6_0.1/au_760796.xlsx","au_760796")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HYPERLINK("./new_k5/query_cmdrels_weight_analyze/0.3_0.6_0.1/au_762846.xlsx","au_762846")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0.45833333333333331</v>
      </c>
    </row>
    <row r="192" spans="1:7" x14ac:dyDescent="0.15">
      <c r="A192" t="str">
        <f>HYPERLINK("./new_k5/query_cmdrels_weight_analyze/0.3_0.6_0.1/au_767786.xlsx","au_767786")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0.76</v>
      </c>
    </row>
    <row r="193" spans="1:7" x14ac:dyDescent="0.15">
      <c r="A193" t="str">
        <f>HYPERLINK("./new_k5/query_cmdrels_weight_analyze/0.3_0.6_0.1/au_778906.xlsx","au_778906")</f>
        <v>au_778906</v>
      </c>
      <c r="B193">
        <v>0.2</v>
      </c>
      <c r="C193">
        <v>0.2</v>
      </c>
      <c r="D193">
        <v>0.33333333333333331</v>
      </c>
      <c r="E193">
        <v>0.6</v>
      </c>
      <c r="F193">
        <v>0.33333333333333331</v>
      </c>
      <c r="G193">
        <v>0.6</v>
      </c>
    </row>
    <row r="194" spans="1:7" x14ac:dyDescent="0.15">
      <c r="A194" t="str">
        <f>HYPERLINK("./new_k5/query_cmdrels_weight_analyze/0.3_0.6_0.1/au_818929.xlsx","au_818929")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0.42</v>
      </c>
    </row>
    <row r="195" spans="1:7" x14ac:dyDescent="0.15">
      <c r="A195" t="str">
        <f>HYPERLINK("./new_k5/query_cmdrels_weight_analyze/0.3_0.6_0.1/au_844876.xlsx","au_844876")</f>
        <v>au_844876</v>
      </c>
      <c r="B195">
        <v>0.5</v>
      </c>
      <c r="C195">
        <v>0.5</v>
      </c>
      <c r="D195">
        <v>0.5</v>
      </c>
      <c r="E195">
        <v>0.5</v>
      </c>
      <c r="F195">
        <v>0.5</v>
      </c>
      <c r="G195">
        <v>0.75</v>
      </c>
    </row>
    <row r="196" spans="1:7" x14ac:dyDescent="0.15">
      <c r="A196" t="str">
        <f>HYPERLINK("./new_k5/query_cmdrels_weight_analyze/0.3_0.6_0.1/au_85318.xlsx","au_85318")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0.4</v>
      </c>
    </row>
    <row r="197" spans="1:7" x14ac:dyDescent="0.15">
      <c r="A197" t="str">
        <f>HYPERLINK("./new_k5/query_cmdrels_weight_analyze/0.3_0.6_0.1/au_854332.xlsx","au_854332")</f>
        <v>au_854332</v>
      </c>
      <c r="B197">
        <v>0.33333333333333331</v>
      </c>
      <c r="C197">
        <v>0</v>
      </c>
      <c r="D197">
        <v>0.55555555555555547</v>
      </c>
      <c r="E197">
        <v>0.16666666666666671</v>
      </c>
      <c r="F197">
        <v>0.55555555555555547</v>
      </c>
      <c r="G197">
        <v>0.16666666666666671</v>
      </c>
    </row>
    <row r="198" spans="1:7" x14ac:dyDescent="0.15">
      <c r="A198" t="str">
        <f>HYPERLINK("./new_k5/query_cmdrels_weight_analyze/0.3_0.6_0.1/au_854373.xlsx","au_854373")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HYPERLINK("./new_k5/query_cmdrels_weight_analyze/0.3_0.6_0.1/au_86843.xlsx","au_86843")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HYPERLINK("./new_k5/query_cmdrels_weight_analyze/0.3_0.6_0.1/au_88108.xlsx","au_88108")</f>
        <v>au_88108</v>
      </c>
      <c r="B200">
        <v>0</v>
      </c>
      <c r="C200">
        <v>0</v>
      </c>
      <c r="D200">
        <v>0.1</v>
      </c>
      <c r="E200">
        <v>6.6666666666666666E-2</v>
      </c>
      <c r="F200">
        <v>0.1</v>
      </c>
      <c r="G200">
        <v>6.6666666666666666E-2</v>
      </c>
    </row>
    <row r="201" spans="1:7" x14ac:dyDescent="0.15">
      <c r="A201" t="str">
        <f>HYPERLINK("./new_k5/query_cmdrels_weight_analyze/0.3_0.6_0.1/au_90214.xlsx","au_90214")</f>
        <v>au_90214</v>
      </c>
      <c r="B201">
        <v>0</v>
      </c>
      <c r="C201">
        <v>0</v>
      </c>
      <c r="D201">
        <v>0.16666666666666671</v>
      </c>
      <c r="E201">
        <v>0</v>
      </c>
      <c r="F201">
        <v>0.16666666666666671</v>
      </c>
      <c r="G201">
        <v>0.2166666666666667</v>
      </c>
    </row>
    <row r="202" spans="1:7" x14ac:dyDescent="0.15">
      <c r="A202" t="str">
        <f>HYPERLINK("./new_k5/query_cmdrels_weight_analyze/0.3_0.6_0.1/au_90339.xlsx","au_90339")</f>
        <v>au_90339</v>
      </c>
      <c r="B202">
        <v>0</v>
      </c>
      <c r="C202">
        <v>0.14285714285714279</v>
      </c>
      <c r="D202">
        <v>4.7619047619047623E-2</v>
      </c>
      <c r="E202">
        <v>0.42857142857142849</v>
      </c>
      <c r="F202">
        <v>0.2047619047619047</v>
      </c>
      <c r="G202">
        <v>0.54285714285714282</v>
      </c>
    </row>
    <row r="203" spans="1:7" x14ac:dyDescent="0.15">
      <c r="A203" t="str">
        <f>HYPERLINK("./new_k5/query_cmdrels_weight_analyze/0.3_0.6_0.1/au_91286.xlsx","au_91286")</f>
        <v>au_91286</v>
      </c>
      <c r="B203">
        <v>0.5</v>
      </c>
      <c r="C203">
        <v>0</v>
      </c>
      <c r="D203">
        <v>0.5</v>
      </c>
      <c r="E203">
        <v>0.16666666666666671</v>
      </c>
      <c r="F203">
        <v>0.5</v>
      </c>
      <c r="G203">
        <v>0.16666666666666671</v>
      </c>
    </row>
    <row r="204" spans="1:7" x14ac:dyDescent="0.15">
      <c r="A204" t="str">
        <f>HYPERLINK("./new_k5/query_cmdrels_weight_analyze/0.3_0.6_0.1/au_9135.xlsx","au_9135")</f>
        <v>au_9135</v>
      </c>
      <c r="B204">
        <v>0.1</v>
      </c>
      <c r="C204">
        <v>0.1</v>
      </c>
      <c r="D204">
        <v>0.16666666666666671</v>
      </c>
      <c r="E204">
        <v>0.16666666666666671</v>
      </c>
      <c r="F204">
        <v>0.24166666666666661</v>
      </c>
      <c r="G204">
        <v>0.32166666666666671</v>
      </c>
    </row>
    <row r="205" spans="1:7" x14ac:dyDescent="0.15">
      <c r="A205" t="str">
        <f>HYPERLINK("./new_k5/query_cmdrels_weight_analyze/0.3_0.6_0.1/au_935569.xlsx","au_935569")</f>
        <v>au_935569</v>
      </c>
      <c r="B205">
        <v>0.14285714285714279</v>
      </c>
      <c r="C205">
        <v>0</v>
      </c>
      <c r="D205">
        <v>0.42857142857142849</v>
      </c>
      <c r="E205">
        <v>0.16666666666666671</v>
      </c>
      <c r="F205">
        <v>0.54285714285714282</v>
      </c>
      <c r="G205">
        <v>0.16666666666666671</v>
      </c>
    </row>
    <row r="206" spans="1:7" x14ac:dyDescent="0.15">
      <c r="A206" t="str">
        <f>HYPERLINK("./new_k5/query_cmdrels_weight_analyze/0.3_0.6_0.1/au_97936.xlsx","au_97936")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HYPERLINK("./new_k5/query_cmdrels_weight_analyze/0.3_0.6_0.1/so_10235778.xlsx","so_10235778")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HYPERLINK("./new_k5/query_cmdrels_weight_analyze/0.3_0.6_0.1/so_1045910.xlsx","so_1045910")</f>
        <v>so_1045910</v>
      </c>
      <c r="B208">
        <v>0.25</v>
      </c>
      <c r="C208">
        <v>0</v>
      </c>
      <c r="D208">
        <v>0.25</v>
      </c>
      <c r="E208">
        <v>0.125</v>
      </c>
      <c r="F208">
        <v>0.25</v>
      </c>
      <c r="G208">
        <v>0.25</v>
      </c>
    </row>
    <row r="209" spans="1:7" x14ac:dyDescent="0.15">
      <c r="A209" t="str">
        <f>HYPERLINK("./new_k5/query_cmdrels_weight_analyze/0.3_0.6_0.1/so_10557360.xlsx","so_10557360")</f>
        <v>so_10557360</v>
      </c>
      <c r="B209">
        <v>0</v>
      </c>
      <c r="C209">
        <v>0</v>
      </c>
      <c r="D209">
        <v>0</v>
      </c>
      <c r="E209">
        <v>0.1</v>
      </c>
      <c r="F209">
        <v>0</v>
      </c>
      <c r="G209">
        <v>0.1</v>
      </c>
    </row>
    <row r="210" spans="1:7" x14ac:dyDescent="0.15">
      <c r="A210" t="str">
        <f>HYPERLINK("./new_k5/query_cmdrels_weight_analyze/0.3_0.6_0.1/so_1058047.xlsx","so_1058047")</f>
        <v>so_1058047</v>
      </c>
      <c r="B210">
        <v>0.25</v>
      </c>
      <c r="C210">
        <v>0.25</v>
      </c>
      <c r="D210">
        <v>0.25</v>
      </c>
      <c r="E210">
        <v>0.41666666666666657</v>
      </c>
      <c r="F210">
        <v>0.25</v>
      </c>
      <c r="G210">
        <v>0.41666666666666657</v>
      </c>
    </row>
    <row r="211" spans="1:7" x14ac:dyDescent="0.15">
      <c r="A211" t="str">
        <f>HYPERLINK("./new_k5/query_cmdrels_weight_analyze/0.3_0.6_0.1/so_10829402.xlsx","so_10829402")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HYPERLINK("./new_k5/query_cmdrels_weight_analyze/0.3_0.6_0.1/so_1088098.xlsx","so_1088098")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0.25</v>
      </c>
    </row>
    <row r="213" spans="1:7" x14ac:dyDescent="0.15">
      <c r="A213" t="str">
        <f>HYPERLINK("./new_k5/query_cmdrels_weight_analyze/0.3_0.6_0.1/so_10990949.xlsx","so_10990949")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0.7</v>
      </c>
    </row>
    <row r="214" spans="1:7" x14ac:dyDescent="0.15">
      <c r="A214" t="str">
        <f>HYPERLINK("./new_k5/query_cmdrels_weight_analyze/0.3_0.6_0.1/so_11211705.xlsx","so_11211705")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HYPERLINK("./new_k5/query_cmdrels_weight_analyze/0.3_0.6_0.1/so_112932.xlsx","so_112932")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HYPERLINK("./new_k5/query_cmdrels_weight_analyze/0.3_0.6_0.1/so_11392189.xlsx","so_11392189")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8.3333333333333329E-2</v>
      </c>
    </row>
    <row r="217" spans="1:7" x14ac:dyDescent="0.15">
      <c r="A217" t="str">
        <f>HYPERLINK("./new_k5/query_cmdrels_weight_analyze/0.3_0.6_0.1/so_1183183.xlsx","so_1183183")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</v>
      </c>
    </row>
    <row r="218" spans="1:7" x14ac:dyDescent="0.15">
      <c r="A218" t="str">
        <f>HYPERLINK("./new_k5/query_cmdrels_weight_analyze/0.3_0.6_0.1/so_1194882.xlsx","so_1194882")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HYPERLINK("./new_k5/query_cmdrels_weight_analyze/0.3_0.6_0.1/so_12120935.xlsx","so_12120935")</f>
        <v>so_12120935</v>
      </c>
      <c r="B219">
        <v>0.25</v>
      </c>
      <c r="C219">
        <v>0.25</v>
      </c>
      <c r="D219">
        <v>0.41666666666666657</v>
      </c>
      <c r="E219">
        <v>0.5</v>
      </c>
      <c r="F219">
        <v>0.41666666666666657</v>
      </c>
      <c r="G219">
        <v>0.6875</v>
      </c>
    </row>
    <row r="220" spans="1:7" x14ac:dyDescent="0.15">
      <c r="A220" t="str">
        <f>HYPERLINK("./new_k5/query_cmdrels_weight_analyze/0.3_0.6_0.1/so_12313384.xlsx","so_12313384")</f>
        <v>so_12313384</v>
      </c>
      <c r="B220">
        <v>0</v>
      </c>
      <c r="C220">
        <v>0.33333333333333331</v>
      </c>
      <c r="D220">
        <v>0.16666666666666671</v>
      </c>
      <c r="E220">
        <v>0.66666666666666663</v>
      </c>
      <c r="F220">
        <v>0.16666666666666671</v>
      </c>
      <c r="G220">
        <v>0.66666666666666663</v>
      </c>
    </row>
    <row r="221" spans="1:7" x14ac:dyDescent="0.15">
      <c r="A221" t="str">
        <f>HYPERLINK("./new_k5/query_cmdrels_weight_analyze/0.3_0.6_0.1/so_12392598.xlsx","so_12392598")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HYPERLINK("./new_k5/query_cmdrels_weight_analyze/0.3_0.6_0.1/so_1241801.xlsx","so_1241801")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HYPERLINK("./new_k5/query_cmdrels_weight_analyze/0.3_0.6_0.1/so_12522269.xlsx","so_12522269")</f>
        <v>so_12522269</v>
      </c>
      <c r="B223">
        <v>0.2</v>
      </c>
      <c r="C223">
        <v>0.2</v>
      </c>
      <c r="D223">
        <v>0.2</v>
      </c>
      <c r="E223">
        <v>0.2</v>
      </c>
      <c r="F223">
        <v>0.28000000000000003</v>
      </c>
      <c r="G223">
        <v>0.2</v>
      </c>
    </row>
    <row r="224" spans="1:7" x14ac:dyDescent="0.15">
      <c r="A224" t="str">
        <f>HYPERLINK("./new_k5/query_cmdrels_weight_analyze/0.3_0.6_0.1/so_1293907.xlsx","so_1293907")</f>
        <v>so_1293907</v>
      </c>
      <c r="B224">
        <v>0</v>
      </c>
      <c r="C224">
        <v>0.33333333333333331</v>
      </c>
      <c r="D224">
        <v>0</v>
      </c>
      <c r="E224">
        <v>0.66666666666666663</v>
      </c>
      <c r="F224">
        <v>8.3333333333333329E-2</v>
      </c>
      <c r="G224">
        <v>0.91666666666666663</v>
      </c>
    </row>
    <row r="225" spans="1:7" x14ac:dyDescent="0.15">
      <c r="A225" t="str">
        <f>HYPERLINK("./new_k5/query_cmdrels_weight_analyze/0.3_0.6_0.1/so_13428910.xlsx","so_13428910")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HYPERLINK("./new_k5/query_cmdrels_weight_analyze/0.3_0.6_0.1/so_135688.xlsx","so_135688")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HYPERLINK("./new_k5/query_cmdrels_weight_analyze/0.3_0.6_0.1/so_13778273.xlsx","so_13778273")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HYPERLINK("./new_k5/query_cmdrels_weight_analyze/0.3_0.6_0.1/so_1405611.xlsx","so_1405611")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0.16666666666666671</v>
      </c>
      <c r="F228">
        <v>0.33333333333333331</v>
      </c>
      <c r="G228">
        <v>0.16666666666666671</v>
      </c>
    </row>
    <row r="229" spans="1:7" x14ac:dyDescent="0.15">
      <c r="A229" t="str">
        <f>HYPERLINK("./new_k5/query_cmdrels_weight_analyze/0.3_0.6_0.1/so_14300794.xlsx","so_14300794")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HYPERLINK("./new_k5/query_cmdrels_weight_analyze/0.3_0.6_0.1/so_143791.xlsx","so_143791")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HYPERLINK("./new_k5/query_cmdrels_weight_analyze/0.3_0.6_0.1/so_14750650.xlsx","so_14750650")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6.25E-2</v>
      </c>
    </row>
    <row r="232" spans="1:7" x14ac:dyDescent="0.15">
      <c r="A232" t="str">
        <f>HYPERLINK("./new_k5/query_cmdrels_weight_analyze/0.3_0.6_0.1/so_14978411.xlsx","so_14978411")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HYPERLINK("./new_k5/query_cmdrels_weight_analyze/0.3_0.6_0.1/so_15236308.xlsx","so_15236308")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HYPERLINK("./new_k5/query_cmdrels_weight_analyze/0.3_0.6_0.1/so_15286947.xlsx","so_15286947")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HYPERLINK("./new_k5/query_cmdrels_weight_analyze/0.3_0.6_0.1/so_15402770.xlsx","so_15402770")</f>
        <v>so_15402770</v>
      </c>
      <c r="B235">
        <v>0</v>
      </c>
      <c r="C235">
        <v>0.16666666666666671</v>
      </c>
      <c r="D235">
        <v>0.19444444444444439</v>
      </c>
      <c r="E235">
        <v>0.5</v>
      </c>
      <c r="F235">
        <v>0.19444444444444439</v>
      </c>
      <c r="G235">
        <v>0.66666666666666663</v>
      </c>
    </row>
    <row r="236" spans="1:7" x14ac:dyDescent="0.15">
      <c r="A236" t="str">
        <f>HYPERLINK("./new_k5/query_cmdrels_weight_analyze/0.3_0.6_0.1/so_1570262.xlsx","so_1570262")</f>
        <v>so_1570262</v>
      </c>
      <c r="B236">
        <v>0</v>
      </c>
      <c r="C236">
        <v>0</v>
      </c>
      <c r="D236">
        <v>0</v>
      </c>
      <c r="E236">
        <v>6.6666666666666666E-2</v>
      </c>
      <c r="F236">
        <v>0</v>
      </c>
      <c r="G236">
        <v>0.16666666666666671</v>
      </c>
    </row>
    <row r="237" spans="1:7" x14ac:dyDescent="0.15">
      <c r="A237" t="str">
        <f>HYPERLINK("./new_k5/query_cmdrels_weight_analyze/0.3_0.6_0.1/so_1583219.xlsx","so_1583219")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HYPERLINK("./new_k5/query_cmdrels_weight_analyze/0.3_0.6_0.1/so_15872543.xlsx","so_15872543")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HYPERLINK("./new_k5/query_cmdrels_weight_analyze/0.3_0.6_0.1/so_16038087.xlsx","so_16038087")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0.2857142857142857</v>
      </c>
      <c r="F239">
        <v>0.2857142857142857</v>
      </c>
      <c r="G239">
        <v>0.2857142857142857</v>
      </c>
    </row>
    <row r="240" spans="1:7" x14ac:dyDescent="0.15">
      <c r="A240" t="str">
        <f>HYPERLINK("./new_k5/query_cmdrels_weight_analyze/0.3_0.6_0.1/so_16212656.xlsx","so_16212656")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HYPERLINK("./new_k5/query_cmdrels_weight_analyze/0.3_0.6_0.1/so_16575419.xlsx","so_16575419")</f>
        <v>so_16575419</v>
      </c>
      <c r="B241">
        <v>0.25</v>
      </c>
      <c r="C241">
        <v>0.25</v>
      </c>
      <c r="D241">
        <v>0.25</v>
      </c>
      <c r="E241">
        <v>0.75</v>
      </c>
      <c r="F241">
        <v>0.25</v>
      </c>
      <c r="G241">
        <v>0.75</v>
      </c>
    </row>
    <row r="242" spans="1:7" x14ac:dyDescent="0.15">
      <c r="A242" t="str">
        <f>HYPERLINK("./new_k5/query_cmdrels_weight_analyze/0.3_0.6_0.1/so_17582768.xlsx","so_17582768")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8.3333333333333329E-2</v>
      </c>
    </row>
    <row r="243" spans="1:7" x14ac:dyDescent="0.15">
      <c r="A243" t="str">
        <f>HYPERLINK("./new_k5/query_cmdrels_weight_analyze/0.3_0.6_0.1/so_17607612.xlsx","so_17607612")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HYPERLINK("./new_k5/query_cmdrels_weight_analyze/0.3_0.6_0.1/so_17829785.xlsx","so_17829785")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HYPERLINK("./new_k5/query_cmdrels_weight_analyze/0.3_0.6_0.1/so_1839841.xlsx","so_1839841")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HYPERLINK("./new_k5/query_cmdrels_weight_analyze/0.3_0.6_0.1/so_18468716.xlsx","so_18468716")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0.46666666666666662</v>
      </c>
    </row>
    <row r="247" spans="1:7" x14ac:dyDescent="0.15">
      <c r="A247" t="str">
        <f>HYPERLINK("./new_k5/query_cmdrels_weight_analyze/0.3_0.6_0.1/so_19196105.xlsx","so_19196105")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HYPERLINK("./new_k5/query_cmdrels_weight_analyze/0.3_0.6_0.1/so_19482123.xlsx","so_19482123")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HYPERLINK("./new_k5/query_cmdrels_weight_analyze/0.3_0.6_0.1/so_1975849.xlsx","so_1975849")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HYPERLINK("./new_k5/query_cmdrels_weight_analyze/0.3_0.6_0.1/so_212528.xlsx","so_212528")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0.43333333333333329</v>
      </c>
    </row>
    <row r="251" spans="1:7" x14ac:dyDescent="0.15">
      <c r="A251" t="str">
        <f>HYPERLINK("./new_k5/query_cmdrels_weight_analyze/0.3_0.6_0.1/so_21620406.xlsx","so_21620406")</f>
        <v>so_21620406</v>
      </c>
      <c r="B251">
        <v>0</v>
      </c>
      <c r="C251">
        <v>0</v>
      </c>
      <c r="D251">
        <v>0.1111111111111111</v>
      </c>
      <c r="E251">
        <v>0</v>
      </c>
      <c r="F251">
        <v>0.1111111111111111</v>
      </c>
      <c r="G251">
        <v>8.3333333333333329E-2</v>
      </c>
    </row>
    <row r="252" spans="1:7" x14ac:dyDescent="0.15">
      <c r="A252" t="str">
        <f>HYPERLINK("./new_k5/query_cmdrels_weight_analyze/0.3_0.6_0.1/so_23509348.xlsx","so_23509348")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HYPERLINK("./new_k5/query_cmdrels_weight_analyze/0.3_0.6_0.1/so_24058544.xlsx","so_24058544")</f>
        <v>so_24058544</v>
      </c>
      <c r="B253">
        <v>0.2</v>
      </c>
      <c r="C253">
        <v>0.2</v>
      </c>
      <c r="D253">
        <v>0.2</v>
      </c>
      <c r="E253">
        <v>0.33333333333333331</v>
      </c>
      <c r="F253">
        <v>0.2</v>
      </c>
      <c r="G253">
        <v>0.33333333333333331</v>
      </c>
    </row>
    <row r="254" spans="1:7" x14ac:dyDescent="0.15">
      <c r="A254" t="str">
        <f>HYPERLINK("./new_k5/query_cmdrels_weight_analyze/0.3_0.6_0.1/so_24283097.xlsx","so_24283097")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HYPERLINK("./new_k5/query_cmdrels_weight_analyze/0.3_0.6_0.1/so_26256279.xlsx","so_26256279")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HYPERLINK("./new_k5/query_cmdrels_weight_analyze/0.3_0.6_0.1/so_26331651.xlsx","so_26331651")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HYPERLINK("./new_k5/query_cmdrels_weight_analyze/0.3_0.6_0.1/so_26988262.xlsx","so_26988262")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HYPERLINK("./new_k5/query_cmdrels_weight_analyze/0.3_0.6_0.1/so_27238411.xlsx","so_27238411")</f>
        <v>so_27238411</v>
      </c>
      <c r="B258">
        <v>0.2</v>
      </c>
      <c r="C258">
        <v>0.2</v>
      </c>
      <c r="D258">
        <v>0.6</v>
      </c>
      <c r="E258">
        <v>0.33333333333333331</v>
      </c>
      <c r="F258">
        <v>0.6</v>
      </c>
      <c r="G258">
        <v>0.48333333333333328</v>
      </c>
    </row>
    <row r="259" spans="1:7" x14ac:dyDescent="0.15">
      <c r="A259" t="str">
        <f>HYPERLINK("./new_k5/query_cmdrels_weight_analyze/0.3_0.6_0.1/so_27943059.xlsx","so_27943059")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0.33333333333333331</v>
      </c>
      <c r="F259">
        <v>0.16666666666666671</v>
      </c>
      <c r="G259">
        <v>0.5</v>
      </c>
    </row>
    <row r="260" spans="1:7" x14ac:dyDescent="0.15">
      <c r="A260" t="str">
        <f>HYPERLINK("./new_k5/query_cmdrels_weight_analyze/0.3_0.6_0.1/so_28869004.xlsx","so_28869004")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HYPERLINK("./new_k5/query_cmdrels_weight_analyze/0.3_0.6_0.1/so_2973624.xlsx","so_2973624")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0.55555555555555547</v>
      </c>
      <c r="F261">
        <v>0.66666666666666663</v>
      </c>
      <c r="G261">
        <v>0.55555555555555547</v>
      </c>
    </row>
    <row r="262" spans="1:7" x14ac:dyDescent="0.15">
      <c r="A262" t="str">
        <f>HYPERLINK("./new_k5/query_cmdrels_weight_analyze/0.3_0.6_0.1/so_30177455.xlsx","so_30177455")</f>
        <v>so_30177455</v>
      </c>
      <c r="B262">
        <v>0</v>
      </c>
      <c r="C262">
        <v>0</v>
      </c>
      <c r="D262">
        <v>0.16666666666666671</v>
      </c>
      <c r="E262">
        <v>0.1111111111111111</v>
      </c>
      <c r="F262">
        <v>0.16666666666666671</v>
      </c>
      <c r="G262">
        <v>0.1111111111111111</v>
      </c>
    </row>
    <row r="263" spans="1:7" x14ac:dyDescent="0.15">
      <c r="A263" t="str">
        <f>HYPERLINK("./new_k5/query_cmdrels_weight_analyze/0.3_0.6_0.1/so_30251889.xlsx","so_30251889")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0.47916666666666657</v>
      </c>
    </row>
    <row r="264" spans="1:7" x14ac:dyDescent="0.15">
      <c r="A264" t="str">
        <f>HYPERLINK("./new_k5/query_cmdrels_weight_analyze/0.3_0.6_0.1/so_305035.xlsx","so_305035")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HYPERLINK("./new_k5/query_cmdrels_weight_analyze/0.3_0.6_0.1/so_36249744.xlsx","so_36249744")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HYPERLINK("./new_k5/query_cmdrels_weight_analyze/0.3_0.6_0.1/so_3643848.xlsx","so_3643848")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HYPERLINK("./new_k5/query_cmdrels_weight_analyze/0.3_0.6_0.1/so_3667329.xlsx","so_3667329")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HYPERLINK("./new_k5/query_cmdrels_weight_analyze/0.3_0.6_0.1/so_369758.xlsx","so_369758")</f>
        <v>so_369758</v>
      </c>
      <c r="B268">
        <v>0.2</v>
      </c>
      <c r="C268">
        <v>0.2</v>
      </c>
      <c r="D268">
        <v>0.4</v>
      </c>
      <c r="E268">
        <v>0.33333333333333331</v>
      </c>
      <c r="F268">
        <v>0.4</v>
      </c>
      <c r="G268">
        <v>0.48333333333333328</v>
      </c>
    </row>
    <row r="269" spans="1:7" x14ac:dyDescent="0.15">
      <c r="A269" t="str">
        <f>HYPERLINK("./new_k5/query_cmdrels_weight_analyze/0.3_0.6_0.1/so_3756323.xlsx","so_3756323")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0.75</v>
      </c>
    </row>
    <row r="270" spans="1:7" x14ac:dyDescent="0.15">
      <c r="A270" t="str">
        <f>HYPERLINK("./new_k5/query_cmdrels_weight_analyze/0.3_0.6_0.1/so_3767267.xlsx","so_3767267")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HYPERLINK("./new_k5/query_cmdrels_weight_analyze/0.3_0.6_0.1/so_3833578.xlsx","so_3833578")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HYPERLINK("./new_k5/query_cmdrels_weight_analyze/0.3_0.6_0.1/so_3891076.xlsx","so_3891076")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0.52500000000000002</v>
      </c>
    </row>
    <row r="273" spans="1:7" x14ac:dyDescent="0.15">
      <c r="A273" t="str">
        <f>HYPERLINK("./new_k5/query_cmdrels_weight_analyze/0.3_0.6_0.1/so_3963085.xlsx","so_3963085")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HYPERLINK("./new_k5/query_cmdrels_weight_analyze/0.3_0.6_0.1/so_4325216.xlsx","so_4325216")</f>
        <v>so_4325216</v>
      </c>
      <c r="B274">
        <v>0.5</v>
      </c>
      <c r="C274">
        <v>0.5</v>
      </c>
      <c r="D274">
        <v>0.5</v>
      </c>
      <c r="E274">
        <v>0.83333333333333326</v>
      </c>
      <c r="F274">
        <v>0.5</v>
      </c>
      <c r="G274">
        <v>0.83333333333333326</v>
      </c>
    </row>
    <row r="275" spans="1:7" x14ac:dyDescent="0.15">
      <c r="A275" t="str">
        <f>HYPERLINK("./new_k5/query_cmdrels_weight_analyze/0.3_0.6_0.1/so_448005.xlsx","so_448005")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HYPERLINK("./new_k5/query_cmdrels_weight_analyze/0.3_0.6_0.1/so_4921879.xlsx","so_4921879")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HYPERLINK("./new_k5/query_cmdrels_weight_analyze/0.3_0.6_0.1/so_4922943.xlsx","so_4922943")</f>
        <v>so_4922943</v>
      </c>
      <c r="B277">
        <v>0.2</v>
      </c>
      <c r="C277">
        <v>0.2</v>
      </c>
      <c r="D277">
        <v>0.33333333333333331</v>
      </c>
      <c r="E277">
        <v>0.33333333333333331</v>
      </c>
      <c r="F277">
        <v>0.33333333333333331</v>
      </c>
      <c r="G277">
        <v>0.33333333333333331</v>
      </c>
    </row>
    <row r="278" spans="1:7" x14ac:dyDescent="0.15">
      <c r="A278" t="str">
        <f>HYPERLINK("./new_k5/query_cmdrels_weight_analyze/0.3_0.6_0.1/so_5119946.xlsx","so_5119946")</f>
        <v>so_5119946</v>
      </c>
      <c r="B278">
        <v>0.5</v>
      </c>
      <c r="C278">
        <v>0</v>
      </c>
      <c r="D278">
        <v>0.5</v>
      </c>
      <c r="E278">
        <v>0</v>
      </c>
      <c r="F278">
        <v>0.5</v>
      </c>
      <c r="G278">
        <v>0</v>
      </c>
    </row>
    <row r="279" spans="1:7" x14ac:dyDescent="0.15">
      <c r="A279" t="str">
        <f>HYPERLINK("./new_k5/query_cmdrels_weight_analyze/0.3_0.6_0.1/so_5164985.xlsx","so_5164985")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HYPERLINK("./new_k5/query_cmdrels_weight_analyze/0.3_0.6_0.1/so_5306153.xlsx","so_5306153")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HYPERLINK("./new_k5/query_cmdrels_weight_analyze/0.3_0.6_0.1/so_5566310.xlsx","so_5566310")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HYPERLINK("./new_k5/query_cmdrels_weight_analyze/0.3_0.6_0.1/so_5927369.xlsx","so_5927369")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HYPERLINK("./new_k5/query_cmdrels_weight_analyze/0.3_0.6_0.1/so_5947742.xlsx","so_5947742")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HYPERLINK("./new_k5/query_cmdrels_weight_analyze/0.3_0.6_0.1/so_614795.xlsx","so_614795")</f>
        <v>so_614795</v>
      </c>
      <c r="B284">
        <v>0</v>
      </c>
      <c r="C284">
        <v>0</v>
      </c>
      <c r="D284">
        <v>0</v>
      </c>
      <c r="E284">
        <v>0.16666666666666671</v>
      </c>
      <c r="F284">
        <v>0</v>
      </c>
      <c r="G284">
        <v>0.16666666666666671</v>
      </c>
    </row>
    <row r="285" spans="1:7" x14ac:dyDescent="0.15">
      <c r="A285" t="str">
        <f>HYPERLINK("./new_k5/query_cmdrels_weight_analyze/0.3_0.6_0.1/so_6207573.xlsx","so_6207573")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0.2857142857142857</v>
      </c>
      <c r="F285">
        <v>0.37142857142857139</v>
      </c>
      <c r="G285">
        <v>0.39285714285714279</v>
      </c>
    </row>
    <row r="286" spans="1:7" x14ac:dyDescent="0.15">
      <c r="A286" t="str">
        <f>HYPERLINK("./new_k5/query_cmdrels_weight_analyze/0.3_0.6_0.1/so_6283167.xlsx","so_6283167")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HYPERLINK("./new_k5/query_cmdrels_weight_analyze/0.3_0.6_0.1/so_6329505.xlsx","so_6329505")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HYPERLINK("./new_k5/query_cmdrels_weight_analyze/0.3_0.6_0.1/so_6423532.xlsx","so_6423532")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HYPERLINK("./new_k5/query_cmdrels_weight_analyze/0.3_0.6_0.1/so_669438.xlsx","so_669438")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0.33333333333333331</v>
      </c>
    </row>
    <row r="290" spans="1:7" x14ac:dyDescent="0.15">
      <c r="A290" t="str">
        <f>HYPERLINK("./new_k5/query_cmdrels_weight_analyze/0.3_0.6_0.1/so_7052875.xlsx","so_7052875")</f>
        <v>so_7052875</v>
      </c>
      <c r="B290">
        <v>0.2</v>
      </c>
      <c r="C290">
        <v>0</v>
      </c>
      <c r="D290">
        <v>0.2</v>
      </c>
      <c r="E290">
        <v>0.1</v>
      </c>
      <c r="F290">
        <v>0.2</v>
      </c>
      <c r="G290">
        <v>0.18</v>
      </c>
    </row>
    <row r="291" spans="1:7" x14ac:dyDescent="0.15">
      <c r="A291" t="str">
        <f>HYPERLINK("./new_k5/query_cmdrels_weight_analyze/0.3_0.6_0.1/so_7221757.xlsx","so_7221757")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HYPERLINK("./new_k5/query_cmdrels_weight_analyze/0.3_0.6_0.1/so_750604.xlsx","so_750604")</f>
        <v>so_750604</v>
      </c>
      <c r="B292">
        <v>0</v>
      </c>
      <c r="C292">
        <v>0</v>
      </c>
      <c r="D292">
        <v>0.1111111111111111</v>
      </c>
      <c r="E292">
        <v>0.16666666666666671</v>
      </c>
      <c r="F292">
        <v>0.1111111111111111</v>
      </c>
      <c r="G292">
        <v>0.33333333333333331</v>
      </c>
    </row>
    <row r="293" spans="1:7" x14ac:dyDescent="0.15">
      <c r="A293" t="str">
        <f>HYPERLINK("./new_k5/query_cmdrels_weight_analyze/0.3_0.6_0.1/so_7575267.xlsx","so_7575267")</f>
        <v>so_7575267</v>
      </c>
      <c r="B293">
        <v>0</v>
      </c>
      <c r="C293">
        <v>0.25</v>
      </c>
      <c r="D293">
        <v>0</v>
      </c>
      <c r="E293">
        <v>0.75</v>
      </c>
      <c r="F293">
        <v>0</v>
      </c>
      <c r="G293">
        <v>0.75</v>
      </c>
    </row>
    <row r="294" spans="1:7" x14ac:dyDescent="0.15">
      <c r="A294" t="str">
        <f>HYPERLINK("./new_k5/query_cmdrels_weight_analyze/0.3_0.6_0.1/so_7698488.xlsx","so_7698488")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0.16250000000000001</v>
      </c>
    </row>
    <row r="295" spans="1:7" x14ac:dyDescent="0.15">
      <c r="A295" t="str">
        <f>HYPERLINK("./new_k5/query_cmdrels_weight_analyze/0.3_0.6_0.1/so_801095.xlsx","so_801095")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0.33333333333333331</v>
      </c>
      <c r="F295">
        <v>0.33333333333333331</v>
      </c>
      <c r="G295">
        <v>0.5</v>
      </c>
    </row>
    <row r="296" spans="1:7" x14ac:dyDescent="0.15">
      <c r="A296" t="str">
        <f>HYPERLINK("./new_k5/query_cmdrels_weight_analyze/0.3_0.6_0.1/so_8249705.xlsx","so_8249705")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HYPERLINK("./new_k5/query_cmdrels_weight_analyze/0.3_0.6_0.1/so_8423541.xlsx","so_8423541")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HYPERLINK("./new_k5/query_cmdrels_weight_analyze/0.3_0.6_0.1/so_8654051.xlsx","so_8654051")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HYPERLINK("./new_k5/query_cmdrels_weight_analyze/0.3_0.6_0.1/so_890262.xlsx","so_890262")</f>
        <v>so_890262</v>
      </c>
      <c r="B299">
        <v>0</v>
      </c>
      <c r="C299">
        <v>0</v>
      </c>
      <c r="D299">
        <v>0</v>
      </c>
      <c r="E299">
        <v>0.1111111111111111</v>
      </c>
      <c r="F299">
        <v>0</v>
      </c>
      <c r="G299">
        <v>0.27777777777777768</v>
      </c>
    </row>
    <row r="300" spans="1:7" x14ac:dyDescent="0.15">
      <c r="A300" t="str">
        <f>HYPERLINK("./new_k5/query_cmdrels_weight_analyze/0.3_0.6_0.1/so_893585.xlsx","so_893585")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HYPERLINK("./new_k5/query_cmdrels_weight_analyze/0.3_0.6_0.1/so_9223460.xlsx","so_9223460")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HYPERLINK("./new_k5/query_cmdrels_weight_analyze/0.3_0.6_0.1/so_9245638.xlsx","so_9245638")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HYPERLINK("./new_k5/query_cmdrels_weight_analyze/0.3_0.6_0.1/so_9304953.xlsx","so_9304953")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0.6</v>
      </c>
    </row>
    <row r="304" spans="1:7" x14ac:dyDescent="0.15">
      <c r="A304" t="str">
        <f>HYPERLINK("./new_k5/query_cmdrels_weight_analyze/0.3_0.6_0.1/so_9361816.xlsx","so_9361816")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HYPERLINK("./new_k5/query_cmdrels_weight_analyze/0.3_0.6_0.1/su_116617.xlsx","su_116617")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HYPERLINK("./new_k5/query_cmdrels_weight_analyze/0.3_0.6_0.1/su_120045.xlsx","su_120045")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HYPERLINK("./new_k5/query_cmdrels_weight_analyze/0.3_0.6_0.1/su_127863.xlsx","su_127863")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HYPERLINK("./new_k5/query_cmdrels_weight_analyze/0.3_0.6_0.1/su_135498.xlsx","su_135498")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HYPERLINK("./new_k5/query_cmdrels_weight_analyze/0.3_0.6_0.1/su_147027.xlsx","su_147027")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HYPERLINK("./new_k5/query_cmdrels_weight_analyze/0.3_0.6_0.1/su_151911.xlsx","su_151911")</f>
        <v>su_151911</v>
      </c>
      <c r="B310">
        <v>0</v>
      </c>
      <c r="C310">
        <v>0</v>
      </c>
      <c r="D310">
        <v>0</v>
      </c>
      <c r="E310">
        <v>8.3333333333333329E-2</v>
      </c>
      <c r="F310">
        <v>0</v>
      </c>
      <c r="G310">
        <v>8.3333333333333329E-2</v>
      </c>
    </row>
    <row r="311" spans="1:7" x14ac:dyDescent="0.15">
      <c r="A311" t="str">
        <f>HYPERLINK("./new_k5/query_cmdrels_weight_analyze/0.3_0.6_0.1/su_153415.xlsx","su_153415")</f>
        <v>su_153415</v>
      </c>
      <c r="B311">
        <v>0.5</v>
      </c>
      <c r="C311">
        <v>0</v>
      </c>
      <c r="D311">
        <v>0.5</v>
      </c>
      <c r="E311">
        <v>0.25</v>
      </c>
      <c r="F311">
        <v>0.5</v>
      </c>
      <c r="G311">
        <v>0.25</v>
      </c>
    </row>
    <row r="312" spans="1:7" x14ac:dyDescent="0.15">
      <c r="A312" t="str">
        <f>HYPERLINK("./new_k5/query_cmdrels_weight_analyze/0.3_0.6_0.1/su_156189.xlsx","su_156189")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0.27777777777777768</v>
      </c>
    </row>
    <row r="313" spans="1:7" x14ac:dyDescent="0.15">
      <c r="A313" t="str">
        <f>HYPERLINK("./new_k5/query_cmdrels_weight_analyze/0.3_0.6_0.1/su_161531.xlsx","su_161531")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HYPERLINK("./new_k5/query_cmdrels_weight_analyze/0.3_0.6_0.1/su_204209.xlsx","su_204209")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HYPERLINK("./new_k5/query_cmdrels_weight_analyze/0.3_0.6_0.1/su_214390.xlsx","su_214390")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HYPERLINK("./new_k5/query_cmdrels_weight_analyze/0.3_0.6_0.1/su_215483.xlsx","su_215483")</f>
        <v>su_215483</v>
      </c>
      <c r="B316">
        <v>0.5</v>
      </c>
      <c r="C316">
        <v>0.5</v>
      </c>
      <c r="D316">
        <v>1</v>
      </c>
      <c r="E316">
        <v>0.5</v>
      </c>
      <c r="F316">
        <v>1</v>
      </c>
      <c r="G316">
        <v>0.5</v>
      </c>
    </row>
    <row r="317" spans="1:7" x14ac:dyDescent="0.15">
      <c r="A317" t="str">
        <f>HYPERLINK("./new_k5/query_cmdrels_weight_analyze/0.3_0.6_0.1/su_215504.xlsx","su_215504")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0.47916666666666657</v>
      </c>
    </row>
    <row r="318" spans="1:7" x14ac:dyDescent="0.15">
      <c r="A318" t="str">
        <f>HYPERLINK("./new_k5/query_cmdrels_weight_analyze/0.3_0.6_0.1/su_227385.xlsx","su_227385")</f>
        <v>su_227385</v>
      </c>
      <c r="B318">
        <v>0</v>
      </c>
      <c r="C318">
        <v>0</v>
      </c>
      <c r="D318">
        <v>0</v>
      </c>
      <c r="E318">
        <v>0.29166666666666657</v>
      </c>
      <c r="F318">
        <v>0</v>
      </c>
      <c r="G318">
        <v>0.6791666666666667</v>
      </c>
    </row>
    <row r="319" spans="1:7" x14ac:dyDescent="0.15">
      <c r="A319" t="str">
        <f>HYPERLINK("./new_k5/query_cmdrels_weight_analyze/0.3_0.6_0.1/su_273254.xlsx","su_273254")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HYPERLINK("./new_k5/query_cmdrels_weight_analyze/0.3_0.6_0.1/su_294161.xlsx","su_294161")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HYPERLINK("./new_k5/query_cmdrels_weight_analyze/0.3_0.6_0.1/su_302396.xlsx","su_302396")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HYPERLINK("./new_k5/query_cmdrels_weight_analyze/0.3_0.6_0.1/su_303981.xlsx","su_303981")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HYPERLINK("./new_k5/query_cmdrels_weight_analyze/0.3_0.6_0.1/su_305128.xlsx","su_305128")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HYPERLINK("./new_k5/query_cmdrels_weight_analyze/0.3_0.6_0.1/su_31512.xlsx","su_31512")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HYPERLINK("./new_k5/query_cmdrels_weight_analyze/0.3_0.6_0.1/su_380520.xlsx","su_380520")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0.33333333333333331</v>
      </c>
    </row>
    <row r="326" spans="1:7" x14ac:dyDescent="0.15">
      <c r="A326" t="str">
        <f>HYPERLINK("./new_k5/query_cmdrels_weight_analyze/0.3_0.6_0.1/su_38981.xlsx","su_38981")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HYPERLINK("./new_k5/query_cmdrels_weight_analyze/0.3_0.6_0.1/su_437330.xlsx","su_437330")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HYPERLINK("./new_k5/query_cmdrels_weight_analyze/0.3_0.6_0.1/su_441379.xlsx","su_441379")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HYPERLINK("./new_k5/query_cmdrels_weight_analyze/0.3_0.6_0.1/su_462788.xlsx","su_462788")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0.33333333333333331</v>
      </c>
      <c r="F329">
        <v>0.30555555555555558</v>
      </c>
      <c r="G329">
        <v>0.42222222222222222</v>
      </c>
    </row>
    <row r="330" spans="1:7" x14ac:dyDescent="0.15">
      <c r="A330" t="str">
        <f>HYPERLINK("./new_k5/query_cmdrels_weight_analyze/0.3_0.6_0.1/su_626606.xlsx","su_626606")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0.5</v>
      </c>
    </row>
    <row r="331" spans="1:7" x14ac:dyDescent="0.15">
      <c r="A331" t="str">
        <f>HYPERLINK("./new_k5/query_cmdrels_weight_analyze/0.3_0.6_0.1/su_634469.xlsx","su_634469")</f>
        <v>su_634469</v>
      </c>
      <c r="B331">
        <v>0</v>
      </c>
      <c r="C331">
        <v>0.16666666666666671</v>
      </c>
      <c r="D331">
        <v>0</v>
      </c>
      <c r="E331">
        <v>0.16666666666666671</v>
      </c>
      <c r="F331">
        <v>0</v>
      </c>
      <c r="G331">
        <v>0.16666666666666671</v>
      </c>
    </row>
    <row r="332" spans="1:7" x14ac:dyDescent="0.15">
      <c r="A332" t="str">
        <f>HYPERLINK("./new_k5/query_cmdrels_weight_analyze/0.3_0.6_0.1/su_638616.xlsx","su_638616")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HYPERLINK("./new_k5/query_cmdrels_weight_analyze/0.3_0.6_0.1/su_678113.xlsx","su_678113")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HYPERLINK("./new_k5/query_cmdrels_weight_analyze/0.3_0.6_0.1/su_686394.xlsx","su_686394")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HYPERLINK("./new_k5/query_cmdrels_weight_analyze/0.3_0.6_0.1/su_716795.xlsx","su_716795")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0.125</v>
      </c>
    </row>
    <row r="336" spans="1:7" x14ac:dyDescent="0.15">
      <c r="A336" t="str">
        <f>HYPERLINK("./new_k5/query_cmdrels_weight_analyze/0.3_0.6_0.1/su_758463.xlsx","su_758463")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HYPERLINK("./new_k5/query_cmdrels_weight_analyze/0.3_0.6_0.1/su_766437.xlsx","su_766437")</f>
        <v>su_766437</v>
      </c>
      <c r="B337">
        <v>0</v>
      </c>
      <c r="C337">
        <v>0</v>
      </c>
      <c r="D337">
        <v>0</v>
      </c>
      <c r="E337">
        <v>0.1</v>
      </c>
      <c r="F337">
        <v>0.05</v>
      </c>
      <c r="G337">
        <v>0.32</v>
      </c>
    </row>
    <row r="338" spans="1:7" x14ac:dyDescent="0.15">
      <c r="A338" t="str">
        <f>HYPERLINK("./new_k5/query_cmdrels_weight_analyze/0.3_0.6_0.1/su_904001.xlsx","su_904001")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HYPERLINK("./new_k5/query_cmdrels_weight_analyze/0.3_0.6_0.1/ul_100959.xlsx","ul_100959")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HYPERLINK("./new_k5/query_cmdrels_weight_analyze/0.3_0.6_0.1/ul_101073.xlsx","ul_101073")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HYPERLINK("./new_k5/query_cmdrels_weight_analyze/0.3_0.6_0.1/ul_101237.xlsx","ul_101237")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HYPERLINK("./new_k5/query_cmdrels_weight_analyze/0.3_0.6_0.1/ul_102752.xlsx","ul_102752")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HYPERLINK("./new_k5/query_cmdrels_weight_analyze/0.3_0.6_0.1/ul_108174.xlsx","ul_108174")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HYPERLINK("./new_k5/query_cmdrels_weight_analyze/0.3_0.6_0.1/ul_109536.xlsx","ul_109536")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HYPERLINK("./new_k5/query_cmdrels_weight_analyze/0.3_0.6_0.1/ul_112050.xlsx","ul_112050")</f>
        <v>ul_112050</v>
      </c>
      <c r="B345">
        <v>0</v>
      </c>
      <c r="C345">
        <v>0.25</v>
      </c>
      <c r="D345">
        <v>0.125</v>
      </c>
      <c r="E345">
        <v>0.75</v>
      </c>
      <c r="F345">
        <v>0.125</v>
      </c>
      <c r="G345">
        <v>0.75</v>
      </c>
    </row>
    <row r="346" spans="1:7" x14ac:dyDescent="0.15">
      <c r="A346" t="str">
        <f>HYPERLINK("./new_k5/query_cmdrels_weight_analyze/0.3_0.6_0.1/ul_116070.xlsx","ul_116070")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HYPERLINK("./new_k5/query_cmdrels_weight_analyze/0.3_0.6_0.1/ul_11851.xlsx","ul_11851")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HYPERLINK("./new_k5/query_cmdrels_weight_analyze/0.3_0.6_0.1/ul_119126.xlsx","ul_119126")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HYPERLINK("./new_k5/query_cmdrels_weight_analyze/0.3_0.6_0.1/ul_121718.xlsx","ul_121718")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HYPERLINK("./new_k5/query_cmdrels_weight_analyze/0.3_0.6_0.1/ul_12227.xlsx","ul_12227")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HYPERLINK("./new_k5/query_cmdrels_weight_analyze/0.3_0.6_0.1/ul_12453.xlsx","ul_12453")</f>
        <v>ul_12453</v>
      </c>
      <c r="B351">
        <v>0</v>
      </c>
      <c r="C351">
        <v>0.25</v>
      </c>
      <c r="D351">
        <v>0.125</v>
      </c>
      <c r="E351">
        <v>0.75</v>
      </c>
      <c r="F351">
        <v>0.125</v>
      </c>
      <c r="G351">
        <v>1</v>
      </c>
    </row>
    <row r="352" spans="1:7" x14ac:dyDescent="0.15">
      <c r="A352" t="str">
        <f>HYPERLINK("./new_k5/query_cmdrels_weight_analyze/0.3_0.6_0.1/ul_12535.xlsx","ul_12535")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0.28666666666666663</v>
      </c>
    </row>
    <row r="353" spans="1:7" x14ac:dyDescent="0.15">
      <c r="A353" t="str">
        <f>HYPERLINK("./new_k5/query_cmdrels_weight_analyze/0.3_0.6_0.1/ul_127066.xlsx","ul_127066")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0.41666666666666657</v>
      </c>
    </row>
    <row r="354" spans="1:7" x14ac:dyDescent="0.15">
      <c r="A354" t="str">
        <f>HYPERLINK("./new_k5/query_cmdrels_weight_analyze/0.3_0.6_0.1/ul_128953.xlsx","ul_128953")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HYPERLINK("./new_k5/query_cmdrels_weight_analyze/0.3_0.6_0.1/ul_134829.xlsx","ul_134829")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0.66666666666666663</v>
      </c>
    </row>
    <row r="356" spans="1:7" x14ac:dyDescent="0.15">
      <c r="A356" t="str">
        <f>HYPERLINK("./new_k5/query_cmdrels_weight_analyze/0.3_0.6_0.1/ul_136371.xlsx","ul_136371")</f>
        <v>ul_136371</v>
      </c>
      <c r="B356">
        <v>0</v>
      </c>
      <c r="C356">
        <v>0</v>
      </c>
      <c r="D356">
        <v>0</v>
      </c>
      <c r="E356">
        <v>0.16666666666666671</v>
      </c>
      <c r="F356">
        <v>0</v>
      </c>
      <c r="G356">
        <v>0.3</v>
      </c>
    </row>
    <row r="357" spans="1:7" x14ac:dyDescent="0.15">
      <c r="A357" t="str">
        <f>HYPERLINK("./new_k5/query_cmdrels_weight_analyze/0.3_0.6_0.1/ul_136884.xlsx","ul_136884")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HYPERLINK("./new_k5/query_cmdrels_weight_analyze/0.3_0.6_0.1/ul_138398.xlsx","ul_138398")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HYPERLINK("./new_k5/query_cmdrels_weight_analyze/0.3_0.6_0.1/ul_139271.xlsx","ul_139271")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0.16666666666666671</v>
      </c>
      <c r="F359">
        <v>0.33333333333333331</v>
      </c>
      <c r="G359">
        <v>0.35</v>
      </c>
    </row>
    <row r="360" spans="1:7" x14ac:dyDescent="0.15">
      <c r="A360" t="str">
        <f>HYPERLINK("./new_k5/query_cmdrels_weight_analyze/0.3_0.6_0.1/ul_140482.xlsx","ul_140482")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HYPERLINK("./new_k5/query_cmdrels_weight_analyze/0.3_0.6_0.1/ul_14191.xlsx","ul_14191")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0.1111111111111111</v>
      </c>
    </row>
    <row r="362" spans="1:7" x14ac:dyDescent="0.15">
      <c r="A362" t="str">
        <f>HYPERLINK("./new_k5/query_cmdrels_weight_analyze/0.3_0.6_0.1/ul_145929.xlsx","ul_145929")</f>
        <v>ul_145929</v>
      </c>
      <c r="B362">
        <v>0</v>
      </c>
      <c r="C362">
        <v>0</v>
      </c>
      <c r="D362">
        <v>0.16666666666666671</v>
      </c>
      <c r="E362">
        <v>0.25</v>
      </c>
      <c r="F362">
        <v>0.16666666666666671</v>
      </c>
      <c r="G362">
        <v>0.5</v>
      </c>
    </row>
    <row r="363" spans="1:7" x14ac:dyDescent="0.15">
      <c r="A363" t="str">
        <f>HYPERLINK("./new_k5/query_cmdrels_weight_analyze/0.3_0.6_0.1/ul_148985.xlsx","ul_148985")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HYPERLINK("./new_k5/query_cmdrels_weight_analyze/0.3_0.6_0.1/ul_15405.xlsx","ul_15405")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HYPERLINK("./new_k5/query_cmdrels_weight_analyze/0.3_0.6_0.1/ul_155551.xlsx","ul_155551")</f>
        <v>ul_155551</v>
      </c>
      <c r="B365">
        <v>0</v>
      </c>
      <c r="C365">
        <v>0.5</v>
      </c>
      <c r="D365">
        <v>0</v>
      </c>
      <c r="E365">
        <v>0.83333333333333326</v>
      </c>
      <c r="F365">
        <v>0</v>
      </c>
      <c r="G365">
        <v>0.83333333333333326</v>
      </c>
    </row>
    <row r="366" spans="1:7" x14ac:dyDescent="0.15">
      <c r="A366" t="str">
        <f>HYPERLINK("./new_k5/query_cmdrels_weight_analyze/0.3_0.6_0.1/ul_159672.xlsx","ul_159672")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HYPERLINK("./new_k5/query_cmdrels_weight_analyze/0.3_0.6_0.1/ul_163845.xlsx","ul_163845")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HYPERLINK("./new_k5/query_cmdrels_weight_analyze/0.3_0.6_0.1/ul_16407.xlsx","ul_16407")</f>
        <v>ul_16407</v>
      </c>
      <c r="B368">
        <v>0.5</v>
      </c>
      <c r="C368">
        <v>0.5</v>
      </c>
      <c r="D368">
        <v>0.5</v>
      </c>
      <c r="E368">
        <v>0.5</v>
      </c>
      <c r="F368">
        <v>0.75</v>
      </c>
      <c r="G368">
        <v>0.5</v>
      </c>
    </row>
    <row r="369" spans="1:7" x14ac:dyDescent="0.15">
      <c r="A369" t="str">
        <f>HYPERLINK("./new_k5/query_cmdrels_weight_analyze/0.3_0.6_0.1/ul_166558.xlsx","ul_166558")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HYPERLINK("./new_k5/query_cmdrels_weight_analyze/0.3_0.6_0.1/ul_171314.xlsx","ul_171314")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0.25</v>
      </c>
    </row>
    <row r="371" spans="1:7" x14ac:dyDescent="0.15">
      <c r="A371" t="str">
        <f>HYPERLINK("./new_k5/query_cmdrels_weight_analyze/0.3_0.6_0.1/ul_182032.xlsx","ul_182032")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HYPERLINK("./new_k5/query_cmdrels_weight_analyze/0.3_0.6_0.1/ul_19344.xlsx","ul_19344")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HYPERLINK("./new_k5/query_cmdrels_weight_analyze/0.3_0.6_0.1/ul_19369.xlsx","ul_19369")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HYPERLINK("./new_k5/query_cmdrels_weight_analyze/0.3_0.6_0.1/ul_19485.xlsx","ul_19485")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HYPERLINK("./new_k5/query_cmdrels_weight_analyze/0.3_0.6_0.1/ul_20370.xlsx","ul_20370")</f>
        <v>ul_20370</v>
      </c>
      <c r="B375">
        <v>0</v>
      </c>
      <c r="C375">
        <v>0.5</v>
      </c>
      <c r="D375">
        <v>0</v>
      </c>
      <c r="E375">
        <v>0.5</v>
      </c>
      <c r="F375">
        <v>0</v>
      </c>
      <c r="G375">
        <v>0.5</v>
      </c>
    </row>
    <row r="376" spans="1:7" x14ac:dyDescent="0.15">
      <c r="A376" t="str">
        <f>HYPERLINK("./new_k5/query_cmdrels_weight_analyze/0.3_0.6_0.1/ul_211817.xlsx","ul_211817")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HYPERLINK("./new_k5/query_cmdrels_weight_analyze/0.3_0.6_0.1/ul_212925.xlsx","ul_212925")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HYPERLINK("./new_k5/query_cmdrels_weight_analyze/0.3_0.6_0.1/ul_21471.xlsx","ul_21471")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HYPERLINK("./new_k5/query_cmdrels_weight_analyze/0.3_0.6_0.1/ul_22545.xlsx","ul_22545")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HYPERLINK("./new_k5/query_cmdrels_weight_analyze/0.3_0.6_0.1/ul_230481.xlsx","ul_230481")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HYPERLINK("./new_k5/query_cmdrels_weight_analyze/0.3_0.6_0.1/ul_230673.xlsx","ul_230673")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0.45</v>
      </c>
    </row>
    <row r="382" spans="1:7" x14ac:dyDescent="0.15">
      <c r="A382" t="str">
        <f>HYPERLINK("./new_k5/query_cmdrels_weight_analyze/0.3_0.6_0.1/ul_230800.xlsx","ul_230800")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HYPERLINK("./new_k5/query_cmdrels_weight_analyze/0.3_0.6_0.1/ul_232384.xlsx","ul_232384")</f>
        <v>ul_232384</v>
      </c>
      <c r="B383">
        <v>0</v>
      </c>
      <c r="C383">
        <v>0.5</v>
      </c>
      <c r="D383">
        <v>0</v>
      </c>
      <c r="E383">
        <v>0.83333333333333326</v>
      </c>
      <c r="F383">
        <v>0</v>
      </c>
      <c r="G383">
        <v>0.83333333333333326</v>
      </c>
    </row>
    <row r="384" spans="1:7" x14ac:dyDescent="0.15">
      <c r="A384" t="str">
        <f>HYPERLINK("./new_k5/query_cmdrels_weight_analyze/0.3_0.6_0.1/ul_24441.xlsx","ul_24441")</f>
        <v>ul_24441</v>
      </c>
      <c r="B384">
        <v>0</v>
      </c>
      <c r="C384">
        <v>0.5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HYPERLINK("./new_k5/query_cmdrels_weight_analyze/0.3_0.6_0.1/ul_246535.xlsx","ul_246535")</f>
        <v>ul_246535</v>
      </c>
      <c r="B385">
        <v>0.2</v>
      </c>
      <c r="C385">
        <v>0</v>
      </c>
      <c r="D385">
        <v>0.2</v>
      </c>
      <c r="E385">
        <v>0.23333333333333331</v>
      </c>
      <c r="F385">
        <v>0.2</v>
      </c>
      <c r="G385">
        <v>0.23333333333333331</v>
      </c>
    </row>
    <row r="386" spans="1:7" x14ac:dyDescent="0.15">
      <c r="A386" t="str">
        <f>HYPERLINK("./new_k5/query_cmdrels_weight_analyze/0.3_0.6_0.1/ul_259791.xlsx","ul_259791")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HYPERLINK("./new_k5/query_cmdrels_weight_analyze/0.3_0.6_0.1/ul_273971.xlsx","ul_273971")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0.27777777777777768</v>
      </c>
      <c r="F387">
        <v>0.43333333333333329</v>
      </c>
      <c r="G387">
        <v>0.27777777777777768</v>
      </c>
    </row>
    <row r="388" spans="1:7" x14ac:dyDescent="0.15">
      <c r="A388" t="str">
        <f>HYPERLINK("./new_k5/query_cmdrels_weight_analyze/0.3_0.6_0.1/ul_28553.xlsx","ul_28553")</f>
        <v>ul_28553</v>
      </c>
      <c r="B388">
        <v>0.25</v>
      </c>
      <c r="C388">
        <v>0.25</v>
      </c>
      <c r="D388">
        <v>0.5</v>
      </c>
      <c r="E388">
        <v>0.25</v>
      </c>
      <c r="F388">
        <v>0.5</v>
      </c>
      <c r="G388">
        <v>0.25</v>
      </c>
    </row>
    <row r="389" spans="1:7" x14ac:dyDescent="0.15">
      <c r="A389" t="str">
        <f>HYPERLINK("./new_k5/query_cmdrels_weight_analyze/0.3_0.6_0.1/ul_288521.xlsx","ul_288521")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HYPERLINK("./new_k5/query_cmdrels_weight_analyze/0.3_0.6_0.1/ul_32290.xlsx","ul_32290")</f>
        <v>ul_32290</v>
      </c>
      <c r="B390">
        <v>0</v>
      </c>
      <c r="C390">
        <v>0</v>
      </c>
      <c r="D390">
        <v>0</v>
      </c>
      <c r="E390">
        <v>0.125</v>
      </c>
      <c r="F390">
        <v>0</v>
      </c>
      <c r="G390">
        <v>0.125</v>
      </c>
    </row>
    <row r="391" spans="1:7" x14ac:dyDescent="0.15">
      <c r="A391" t="str">
        <f>HYPERLINK("./new_k5/query_cmdrels_weight_analyze/0.3_0.6_0.1/ul_328882.xlsx","ul_328882")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HYPERLINK("./new_k5/query_cmdrels_weight_analyze/0.3_0.6_0.1/ul_35131.xlsx","ul_35131")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0.66666666666666663</v>
      </c>
    </row>
    <row r="393" spans="1:7" x14ac:dyDescent="0.15">
      <c r="A393" t="str">
        <f>HYPERLINK("./new_k5/query_cmdrels_weight_analyze/0.3_0.6_0.1/ul_35333.xlsx","ul_35333")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HYPERLINK("./new_k5/query_cmdrels_weight_analyze/0.3_0.6_0.1/ul_35711.xlsx","ul_35711")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HYPERLINK("./new_k5/query_cmdrels_weight_analyze/0.3_0.6_0.1/ul_3575.xlsx","ul_3575")</f>
        <v>ul_3575</v>
      </c>
      <c r="B395">
        <v>0</v>
      </c>
      <c r="C395">
        <v>0</v>
      </c>
      <c r="D395">
        <v>8.3333333333333329E-2</v>
      </c>
      <c r="E395">
        <v>0</v>
      </c>
      <c r="F395">
        <v>8.3333333333333329E-2</v>
      </c>
      <c r="G395">
        <v>3.3333333333333333E-2</v>
      </c>
    </row>
    <row r="396" spans="1:7" x14ac:dyDescent="0.15">
      <c r="A396" t="str">
        <f>HYPERLINK("./new_k5/query_cmdrels_weight_analyze/0.3_0.6_0.1/ul_35832.xlsx","ul_35832")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HYPERLINK("./new_k5/query_cmdrels_weight_analyze/0.3_0.6_0.1/ul_370318.xlsx","ul_370318")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0.2857142857142857</v>
      </c>
      <c r="F397">
        <v>0.14285714285714279</v>
      </c>
      <c r="G397">
        <v>0.2857142857142857</v>
      </c>
    </row>
    <row r="398" spans="1:7" x14ac:dyDescent="0.15">
      <c r="A398" t="str">
        <f>HYPERLINK("./new_k5/query_cmdrels_weight_analyze/0.3_0.6_0.1/ul_37329.xlsx","ul_37329")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0.66666666666666663</v>
      </c>
      <c r="F398">
        <v>0.33333333333333331</v>
      </c>
      <c r="G398">
        <v>0.66666666666666663</v>
      </c>
    </row>
    <row r="399" spans="1:7" x14ac:dyDescent="0.15">
      <c r="A399" t="str">
        <f>HYPERLINK("./new_k5/query_cmdrels_weight_analyze/0.3_0.6_0.1/ul_38209.xlsx","ul_38209")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HYPERLINK("./new_k5/query_cmdrels_weight_analyze/0.3_0.6_0.1/ul_41246.xlsx","ul_41246")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HYPERLINK("./new_k5/query_cmdrels_weight_analyze/0.3_0.6_0.1/ul_41362.xlsx","ul_41362")</f>
        <v>ul_41362</v>
      </c>
      <c r="B401">
        <v>0</v>
      </c>
      <c r="C401">
        <v>0</v>
      </c>
      <c r="D401">
        <v>0</v>
      </c>
      <c r="E401">
        <v>8.3333333333333329E-2</v>
      </c>
      <c r="F401">
        <v>0</v>
      </c>
      <c r="G401">
        <v>8.3333333333333329E-2</v>
      </c>
    </row>
    <row r="402" spans="1:7" x14ac:dyDescent="0.15">
      <c r="A402" t="str">
        <f>HYPERLINK("./new_k5/query_cmdrels_weight_analyze/0.3_0.6_0.1/ul_48200.xlsx","ul_48200")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HYPERLINK("./new_k5/query_cmdrels_weight_analyze/0.3_0.6_0.1/ul_50098.xlsx","ul_50098")</f>
        <v>ul_50098</v>
      </c>
      <c r="B403">
        <v>0</v>
      </c>
      <c r="C403">
        <v>0</v>
      </c>
      <c r="D403">
        <v>0.1166666666666667</v>
      </c>
      <c r="E403">
        <v>0.05</v>
      </c>
      <c r="F403">
        <v>0.1166666666666667</v>
      </c>
      <c r="G403">
        <v>0.16</v>
      </c>
    </row>
    <row r="404" spans="1:7" x14ac:dyDescent="0.15">
      <c r="A404" t="str">
        <f>HYPERLINK("./new_k5/query_cmdrels_weight_analyze/0.3_0.6_0.1/ul_50785.xlsx","ul_50785")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HYPERLINK("./new_k5/query_cmdrels_weight_analyze/0.3_0.6_0.1/ul_5085.xlsx","ul_5085")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HYPERLINK("./new_k5/query_cmdrels_weight_analyze/0.3_0.6_0.1/ul_53737.xlsx","ul_53737")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HYPERLINK("./new_k5/query_cmdrels_weight_analyze/0.3_0.6_0.1/ul_55125.xlsx","ul_55125")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HYPERLINK("./new_k5/query_cmdrels_weight_analyze/0.3_0.6_0.1/ul_56453.xlsx","ul_56453")</f>
        <v>ul_56453</v>
      </c>
      <c r="B408">
        <v>0</v>
      </c>
      <c r="C408">
        <v>0.25</v>
      </c>
      <c r="D408">
        <v>8.3333333333333329E-2</v>
      </c>
      <c r="E408">
        <v>0.41666666666666657</v>
      </c>
      <c r="F408">
        <v>8.3333333333333329E-2</v>
      </c>
      <c r="G408">
        <v>0.56666666666666665</v>
      </c>
    </row>
    <row r="409" spans="1:7" x14ac:dyDescent="0.15">
      <c r="A409" t="str">
        <f>HYPERLINK("./new_k5/query_cmdrels_weight_analyze/0.3_0.6_0.1/ul_63648.xlsx","ul_63648")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HYPERLINK("./new_k5/query_cmdrels_weight_analyze/0.3_0.6_0.1/ul_6402.xlsx","ul_6402")</f>
        <v>ul_6402</v>
      </c>
      <c r="B410">
        <v>0.33333333333333331</v>
      </c>
      <c r="C410">
        <v>0</v>
      </c>
      <c r="D410">
        <v>0.33333333333333331</v>
      </c>
      <c r="E410">
        <v>0.16666666666666671</v>
      </c>
      <c r="F410">
        <v>0.33333333333333331</v>
      </c>
      <c r="G410">
        <v>0.16666666666666671</v>
      </c>
    </row>
    <row r="411" spans="1:7" x14ac:dyDescent="0.15">
      <c r="A411" t="str">
        <f>HYPERLINK("./new_k5/query_cmdrels_weight_analyze/0.3_0.6_0.1/ul_65106.xlsx","ul_65106")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0.66666666666666663</v>
      </c>
    </row>
    <row r="412" spans="1:7" x14ac:dyDescent="0.15">
      <c r="A412" t="str">
        <f>HYPERLINK("./new_k5/query_cmdrels_weight_analyze/0.3_0.6_0.1/ul_65932.xlsx","ul_65932")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HYPERLINK("./new_k5/query_cmdrels_weight_analyze/0.3_0.6_0.1/ul_6596.xlsx","ul_6596")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HYPERLINK("./new_k5/query_cmdrels_weight_analyze/0.3_0.6_0.1/ul_67503.xlsx","ul_67503")</f>
        <v>ul_67503</v>
      </c>
      <c r="B414">
        <v>0</v>
      </c>
      <c r="C414">
        <v>0.5</v>
      </c>
      <c r="D414">
        <v>0.25</v>
      </c>
      <c r="E414">
        <v>0.5</v>
      </c>
      <c r="F414">
        <v>0.5</v>
      </c>
      <c r="G414">
        <v>0.5</v>
      </c>
    </row>
    <row r="415" spans="1:7" x14ac:dyDescent="0.15">
      <c r="A415" t="str">
        <f>HYPERLINK("./new_k5/query_cmdrels_weight_analyze/0.3_0.6_0.1/ul_67592.xlsx","ul_67592")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HYPERLINK("./new_k5/query_cmdrels_weight_analyze/0.3_0.6_0.1/ul_70581.xlsx","ul_70581")</f>
        <v>ul_70581</v>
      </c>
      <c r="B416">
        <v>0</v>
      </c>
      <c r="C416">
        <v>0.2</v>
      </c>
      <c r="D416">
        <v>0.1</v>
      </c>
      <c r="E416">
        <v>0.6</v>
      </c>
      <c r="F416">
        <v>0.1</v>
      </c>
      <c r="G416">
        <v>0.6</v>
      </c>
    </row>
    <row r="417" spans="1:7" x14ac:dyDescent="0.15">
      <c r="A417" t="str">
        <f>HYPERLINK("./new_k5/query_cmdrels_weight_analyze/0.3_0.6_0.1/ul_70614.xlsx","ul_70614")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HYPERLINK("./new_k5/query_cmdrels_weight_analyze/0.3_0.6_0.1/ul_71465.xlsx","ul_71465")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HYPERLINK("./new_k5/query_cmdrels_weight_analyze/0.3_0.6_0.1/ul_7226.xlsx","ul_7226")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0.33333333333333331</v>
      </c>
      <c r="F419">
        <v>0.33333333333333331</v>
      </c>
      <c r="G419">
        <v>0.5</v>
      </c>
    </row>
    <row r="420" spans="1:7" x14ac:dyDescent="0.15">
      <c r="A420" t="str">
        <f>HYPERLINK("./new_k5/query_cmdrels_weight_analyze/0.3_0.6_0.1/ul_78182.xlsx","ul_78182")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</v>
      </c>
    </row>
    <row r="421" spans="1:7" x14ac:dyDescent="0.15">
      <c r="A421" t="str">
        <f>HYPERLINK("./new_k5/query_cmdrels_weight_analyze/0.3_0.6_0.1/ul_79678.xlsx","ul_79678")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HYPERLINK("./new_k5/query_cmdrels_weight_analyze/0.3_0.6_0.1/ul_79702.xlsx","ul_79702")</f>
        <v>ul_79702</v>
      </c>
      <c r="B422">
        <v>0</v>
      </c>
      <c r="C422">
        <v>0.33333333333333331</v>
      </c>
      <c r="D422">
        <v>0</v>
      </c>
      <c r="E422">
        <v>0.55555555555555547</v>
      </c>
      <c r="F422">
        <v>0</v>
      </c>
      <c r="G422">
        <v>0.75555555555555554</v>
      </c>
    </row>
    <row r="423" spans="1:7" x14ac:dyDescent="0.15">
      <c r="A423" t="str">
        <f>HYPERLINK("./new_k5/query_cmdrels_weight_analyze/0.3_0.6_0.1/ul_83593.xlsx","ul_83593")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HYPERLINK("./new_k5/query_cmdrels_weight_analyze/0.3_0.6_0.1/ul_84381.xlsx","ul_84381")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HYPERLINK("./new_k5/query_cmdrels_weight_analyze/0.3_0.6_0.1/ul_85180.xlsx","ul_85180")</f>
        <v>ul_85180</v>
      </c>
      <c r="B425">
        <v>0</v>
      </c>
      <c r="C425">
        <v>0</v>
      </c>
      <c r="D425">
        <v>0.16666666666666671</v>
      </c>
      <c r="E425">
        <v>0.16666666666666671</v>
      </c>
      <c r="F425">
        <v>0.16666666666666671</v>
      </c>
      <c r="G425">
        <v>0.33333333333333331</v>
      </c>
    </row>
    <row r="426" spans="1:7" x14ac:dyDescent="0.15">
      <c r="A426" t="str">
        <f>HYPERLINK("./new_k5/query_cmdrels_weight_analyze/0.3_0.6_0.1/ul_86071.xlsx","ul_86071")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HYPERLINK("./new_k5/query_cmdrels_weight_analyze/0.3_0.6_0.1/ul_86729.xlsx","ul_86729")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HYPERLINK("./new_k5/query_cmdrels_weight_analyze/0.3_0.6_0.1/ul_88824.xlsx","ul_88824")</f>
        <v>ul_88824</v>
      </c>
      <c r="B428">
        <v>0</v>
      </c>
      <c r="C428">
        <v>0.33333333333333331</v>
      </c>
      <c r="D428">
        <v>0</v>
      </c>
      <c r="E428">
        <v>0.33333333333333331</v>
      </c>
      <c r="F428">
        <v>0</v>
      </c>
      <c r="G428">
        <v>0.5</v>
      </c>
    </row>
    <row r="429" spans="1:7" x14ac:dyDescent="0.15">
      <c r="A429" t="str">
        <f>HYPERLINK("./new_k5/query_cmdrels_weight_analyze/0.3_0.6_0.1/ul_8945.xlsx","ul_8945")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HYPERLINK("./new_k5/query_cmdrels_weight_analyze/0.3_0.6_0.1/ul_89933.xlsx","ul_89933")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HYPERLINK("./new_k5/query_cmdrels_weight_analyze/0.3_0.6_0.1/ul_91297.xlsx","ul_91297")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HYPERLINK("./new_k5/query_cmdrels_weight_analyze/0.3_0.6_0.1/ul_9252.xlsx","ul_9252")</f>
        <v>ul_9252</v>
      </c>
      <c r="B432">
        <v>0</v>
      </c>
      <c r="C432">
        <v>0</v>
      </c>
      <c r="D432">
        <v>0.23333333333333331</v>
      </c>
      <c r="E432">
        <v>6.6666666666666666E-2</v>
      </c>
      <c r="F432">
        <v>0.23333333333333331</v>
      </c>
      <c r="G432">
        <v>0.1466666666666667</v>
      </c>
    </row>
    <row r="433" spans="1:7" x14ac:dyDescent="0.15">
      <c r="A433" t="str">
        <f>HYPERLINK("./new_k5/query_cmdrels_weight_analyze/0.3_0.6_0.1/ul_92560.xlsx","ul_92560")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0.5</v>
      </c>
    </row>
    <row r="434" spans="1:7" x14ac:dyDescent="0.15">
      <c r="A434" t="str">
        <f>HYPERLINK("./new_k5/query_cmdrels_weight_analyze/0.3_0.6_0.1/ul_92799.xlsx","ul_92799")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0.33333333333333331</v>
      </c>
      <c r="F434">
        <v>0.53611111111111109</v>
      </c>
      <c r="G434">
        <v>0.43333333333333329</v>
      </c>
    </row>
    <row r="435" spans="1:7" x14ac:dyDescent="0.15">
      <c r="A435" t="str">
        <f>HYPERLINK("./new_k5/query_cmdrels_weight_analyze/0.3_0.6_0.1/ul_93139.xlsx","ul_93139")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HYPERLINK("./new_k5/query_cmdrels_weight_analyze/0.3_0.6_0.1/ul_98461.xlsx","ul_98461")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HYPERLINK("./new_k5/query_cmdrels_weight_analyze/0.4_0.1_0.5/au_102733.xlsx","au_102733")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HYPERLINK("./new_k5/query_cmdrels_weight_analyze/0.4_0.1_0.5/au_1029436.xlsx","au_1029436")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HYPERLINK("./new_k5/query_cmdrels_weight_analyze/0.4_0.1_0.5/au_1029502.xlsx","au_1029502")</f>
        <v>au_1029502</v>
      </c>
      <c r="B5">
        <v>0.25</v>
      </c>
      <c r="C5">
        <v>0</v>
      </c>
      <c r="D5">
        <v>0.25</v>
      </c>
      <c r="E5">
        <v>0.125</v>
      </c>
      <c r="F5">
        <v>0.375</v>
      </c>
      <c r="G5">
        <v>0.125</v>
      </c>
    </row>
    <row r="6" spans="1:7" x14ac:dyDescent="0.15">
      <c r="A6" t="str">
        <f>HYPERLINK("./new_k5/query_cmdrels_weight_analyze/0.4_0.1_0.5/au_1029531.xlsx","au_1029531")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HYPERLINK("./new_k5/query_cmdrels_weight_analyze/0.4_0.1_0.5/au_104542.xlsx","au_104542")</f>
        <v>au_104542</v>
      </c>
      <c r="B7">
        <v>0.125</v>
      </c>
      <c r="C7">
        <v>0.125</v>
      </c>
      <c r="D7">
        <v>0.25</v>
      </c>
      <c r="E7">
        <v>0.25</v>
      </c>
      <c r="F7">
        <v>0.25</v>
      </c>
      <c r="G7">
        <v>0.25</v>
      </c>
    </row>
    <row r="8" spans="1:7" x14ac:dyDescent="0.15">
      <c r="A8" t="str">
        <f>HYPERLINK("./new_k5/query_cmdrels_weight_analyze/0.4_0.1_0.5/au_109070.xlsx","au_109070")</f>
        <v>au_109070</v>
      </c>
      <c r="B8">
        <v>0</v>
      </c>
      <c r="C8">
        <v>0</v>
      </c>
      <c r="D8">
        <v>0.23333333333333331</v>
      </c>
      <c r="E8">
        <v>0.23333333333333331</v>
      </c>
      <c r="F8">
        <v>0.3833333333333333</v>
      </c>
      <c r="G8">
        <v>0.23333333333333331</v>
      </c>
    </row>
    <row r="9" spans="1:7" x14ac:dyDescent="0.15">
      <c r="A9" t="str">
        <f>HYPERLINK("./new_k5/query_cmdrels_weight_analyze/0.4_0.1_0.5/au_109381.xlsx","au_109381")</f>
        <v>au_109381</v>
      </c>
      <c r="B9">
        <v>0</v>
      </c>
      <c r="C9">
        <v>0</v>
      </c>
      <c r="D9">
        <v>0.25</v>
      </c>
      <c r="E9">
        <v>0.25</v>
      </c>
      <c r="F9">
        <v>0.25</v>
      </c>
      <c r="G9">
        <v>0.25</v>
      </c>
    </row>
    <row r="10" spans="1:7" x14ac:dyDescent="0.15">
      <c r="A10" t="str">
        <f>HYPERLINK("./new_k5/query_cmdrels_weight_analyze/0.4_0.1_0.5/au_110477.xlsx","au_110477")</f>
        <v>au_110477</v>
      </c>
      <c r="B10">
        <v>0.25</v>
      </c>
      <c r="C10">
        <v>0.25</v>
      </c>
      <c r="D10">
        <v>0.5</v>
      </c>
      <c r="E10">
        <v>0.5</v>
      </c>
      <c r="F10">
        <v>0.5</v>
      </c>
      <c r="G10">
        <v>0.5</v>
      </c>
    </row>
    <row r="11" spans="1:7" x14ac:dyDescent="0.15">
      <c r="A11" t="str">
        <f>HYPERLINK("./new_k5/query_cmdrels_weight_analyze/0.4_0.1_0.5/au_111678.xlsx","au_111678")</f>
        <v>au_111678</v>
      </c>
      <c r="B11">
        <v>0</v>
      </c>
      <c r="C11">
        <v>0</v>
      </c>
      <c r="D11">
        <v>0.1111111111111111</v>
      </c>
      <c r="E11">
        <v>0.1111111111111111</v>
      </c>
      <c r="F11">
        <v>0.1111111111111111</v>
      </c>
      <c r="G11">
        <v>0.1111111111111111</v>
      </c>
    </row>
    <row r="12" spans="1:7" x14ac:dyDescent="0.15">
      <c r="A12" t="str">
        <f>HYPERLINK("./new_k5/query_cmdrels_weight_analyze/0.4_0.1_0.5/au_112512.xlsx","au_112512")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HYPERLINK("./new_k5/query_cmdrels_weight_analyze/0.4_0.1_0.5/au_115369.xlsx","au_115369")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HYPERLINK("./new_k5/query_cmdrels_weight_analyze/0.4_0.1_0.5/au_11789.xlsx","au_11789")</f>
        <v>au_11789</v>
      </c>
      <c r="B14">
        <v>0</v>
      </c>
      <c r="C14">
        <v>0</v>
      </c>
      <c r="D14">
        <v>0</v>
      </c>
      <c r="E14">
        <v>0.25</v>
      </c>
      <c r="F14">
        <v>0</v>
      </c>
      <c r="G14">
        <v>0.25</v>
      </c>
    </row>
    <row r="15" spans="1:7" x14ac:dyDescent="0.15">
      <c r="A15" t="str">
        <f>HYPERLINK("./new_k5/query_cmdrels_weight_analyze/0.4_0.1_0.5/au_117950.xlsx","au_117950")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</v>
      </c>
    </row>
    <row r="16" spans="1:7" x14ac:dyDescent="0.15">
      <c r="A16" t="str">
        <f>HYPERLINK("./new_k5/query_cmdrels_weight_analyze/0.4_0.1_0.5/au_122113.xlsx","au_122113")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HYPERLINK("./new_k5/query_cmdrels_weight_analyze/0.4_0.1_0.5/au_123798.xlsx","au_123798")</f>
        <v>au_123798</v>
      </c>
      <c r="B17">
        <v>0</v>
      </c>
      <c r="C17">
        <v>0</v>
      </c>
      <c r="D17">
        <v>5.5555555555555552E-2</v>
      </c>
      <c r="E17">
        <v>0.19444444444444439</v>
      </c>
      <c r="F17">
        <v>0.23888888888888879</v>
      </c>
      <c r="G17">
        <v>0.31944444444444442</v>
      </c>
    </row>
    <row r="18" spans="1:7" x14ac:dyDescent="0.15">
      <c r="A18" t="str">
        <f>HYPERLINK("./new_k5/query_cmdrels_weight_analyze/0.4_0.1_0.5/au_125257.xlsx","au_125257")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HYPERLINK("./new_k5/query_cmdrels_weight_analyze/0.4_0.1_0.5/au_126153.xlsx","au_126153")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0.5</v>
      </c>
      <c r="F19">
        <v>0.45833333333333331</v>
      </c>
      <c r="G19">
        <v>0.83333333333333337</v>
      </c>
    </row>
    <row r="20" spans="1:7" x14ac:dyDescent="0.15">
      <c r="A20" t="str">
        <f>HYPERLINK("./new_k5/query_cmdrels_weight_analyze/0.4_0.1_0.5/au_127326.xlsx","au_127326")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HYPERLINK("./new_k5/query_cmdrels_weight_analyze/0.4_0.1_0.5/au_128463.xlsx","au_128463")</f>
        <v>au_128463</v>
      </c>
      <c r="B21">
        <v>0.33333333333333331</v>
      </c>
      <c r="C21">
        <v>0.33333333333333331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HYPERLINK("./new_k5/query_cmdrels_weight_analyze/0.4_0.1_0.5/au_130393.xlsx","au_130393")</f>
        <v>au_130393</v>
      </c>
      <c r="B22">
        <v>0</v>
      </c>
      <c r="C22">
        <v>0</v>
      </c>
      <c r="D22">
        <v>0.125</v>
      </c>
      <c r="E22">
        <v>0.125</v>
      </c>
      <c r="F22">
        <v>0.125</v>
      </c>
      <c r="G22">
        <v>0.25</v>
      </c>
    </row>
    <row r="23" spans="1:7" x14ac:dyDescent="0.15">
      <c r="A23" t="str">
        <f>HYPERLINK("./new_k5/query_cmdrels_weight_analyze/0.4_0.1_0.5/au_131570.xlsx","au_131570")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HYPERLINK("./new_k5/query_cmdrels_weight_analyze/0.4_0.1_0.5/au_133318.xlsx","au_133318")</f>
        <v>au_133318</v>
      </c>
      <c r="B24">
        <v>0</v>
      </c>
      <c r="C24">
        <v>0.25</v>
      </c>
      <c r="D24">
        <v>0</v>
      </c>
      <c r="E24">
        <v>0.25</v>
      </c>
      <c r="F24">
        <v>0</v>
      </c>
      <c r="G24">
        <v>0.35</v>
      </c>
    </row>
    <row r="25" spans="1:7" x14ac:dyDescent="0.15">
      <c r="A25" t="str">
        <f>HYPERLINK("./new_k5/query_cmdrels_weight_analyze/0.4_0.1_0.5/au_133343.xlsx","au_133343")</f>
        <v>au_133343</v>
      </c>
      <c r="B25">
        <v>0</v>
      </c>
      <c r="C25">
        <v>0</v>
      </c>
      <c r="D25">
        <v>0</v>
      </c>
      <c r="E25">
        <v>0</v>
      </c>
      <c r="F25">
        <v>0</v>
      </c>
      <c r="G25">
        <v>0.2166666666666667</v>
      </c>
    </row>
    <row r="26" spans="1:7" x14ac:dyDescent="0.15">
      <c r="A26" t="str">
        <f>HYPERLINK("./new_k5/query_cmdrels_weight_analyze/0.4_0.1_0.5/au_133389.xlsx","au_133389")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HYPERLINK("./new_k5/query_cmdrels_weight_analyze/0.4_0.1_0.5/au_141277.xlsx","au_141277")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HYPERLINK("./new_k5/query_cmdrels_weight_analyze/0.4_0.1_0.5/au_143819.xlsx","au_143819")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HYPERLINK("./new_k5/query_cmdrels_weight_analyze/0.4_0.1_0.5/au_145935.xlsx","au_145935")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HYPERLINK("./new_k5/query_cmdrels_weight_analyze/0.4_0.1_0.5/au_147241.xlsx","au_147241")</f>
        <v>au_147241</v>
      </c>
      <c r="B30">
        <v>0</v>
      </c>
      <c r="C30">
        <v>0</v>
      </c>
      <c r="D30">
        <v>0.29166666666666657</v>
      </c>
      <c r="E30">
        <v>0.29166666666666657</v>
      </c>
      <c r="F30">
        <v>0.29166666666666657</v>
      </c>
      <c r="G30">
        <v>0.47916666666666657</v>
      </c>
    </row>
    <row r="31" spans="1:7" x14ac:dyDescent="0.15">
      <c r="A31" t="str">
        <f>HYPERLINK("./new_k5/query_cmdrels_weight_analyze/0.4_0.1_0.5/au_147800.xlsx","au_147800")</f>
        <v>au_147800</v>
      </c>
      <c r="B31">
        <v>0</v>
      </c>
      <c r="C31">
        <v>0.33333333333333331</v>
      </c>
      <c r="D31">
        <v>0.1111111111111111</v>
      </c>
      <c r="E31">
        <v>0.33333333333333331</v>
      </c>
      <c r="F31">
        <v>0.1111111111111111</v>
      </c>
      <c r="G31">
        <v>0.33333333333333331</v>
      </c>
    </row>
    <row r="32" spans="1:7" x14ac:dyDescent="0.15">
      <c r="A32" t="str">
        <f>HYPERLINK("./new_k5/query_cmdrels_weight_analyze/0.4_0.1_0.5/au_148321.xlsx","au_148321")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0.37777777777777782</v>
      </c>
    </row>
    <row r="33" spans="1:7" x14ac:dyDescent="0.15">
      <c r="A33" t="str">
        <f>HYPERLINK("./new_k5/query_cmdrels_weight_analyze/0.4_0.1_0.5/au_148638.xlsx","au_148638")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HYPERLINK("./new_k5/query_cmdrels_weight_analyze/0.4_0.1_0.5/au_151049.xlsx","au_151049")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0.55555555555555547</v>
      </c>
      <c r="F34">
        <v>0.66666666666666663</v>
      </c>
      <c r="G34">
        <v>0.55555555555555547</v>
      </c>
    </row>
    <row r="35" spans="1:7" x14ac:dyDescent="0.15">
      <c r="A35" t="str">
        <f>HYPERLINK("./new_k5/query_cmdrels_weight_analyze/0.4_0.1_0.5/au_151941.xlsx","au_151941")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HYPERLINK("./new_k5/query_cmdrels_weight_analyze/0.4_0.1_0.5/au_152297.xlsx","au_152297")</f>
        <v>au_152297</v>
      </c>
      <c r="B36">
        <v>0</v>
      </c>
      <c r="C36">
        <v>0</v>
      </c>
      <c r="D36">
        <v>7.1428571428571425E-2</v>
      </c>
      <c r="E36">
        <v>4.7619047619047623E-2</v>
      </c>
      <c r="F36">
        <v>7.1428571428571425E-2</v>
      </c>
      <c r="G36">
        <v>0.119047619047619</v>
      </c>
    </row>
    <row r="37" spans="1:7" x14ac:dyDescent="0.15">
      <c r="A37" t="str">
        <f>HYPERLINK("./new_k5/query_cmdrels_weight_analyze/0.4_0.1_0.5/au_153976.xlsx","au_153976")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0.16666666666666671</v>
      </c>
      <c r="F37">
        <v>0.33333333333333331</v>
      </c>
      <c r="G37">
        <v>0.25</v>
      </c>
    </row>
    <row r="38" spans="1:7" x14ac:dyDescent="0.15">
      <c r="A38" t="str">
        <f>HYPERLINK("./new_k5/query_cmdrels_weight_analyze/0.4_0.1_0.5/au_154431.xlsx","au_154431")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HYPERLINK("./new_k5/query_cmdrels_weight_analyze/0.4_0.1_0.5/au_159708.xlsx","au_159708")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0.33333333333333331</v>
      </c>
      <c r="F39">
        <v>0.33333333333333331</v>
      </c>
      <c r="G39">
        <v>0.33333333333333331</v>
      </c>
    </row>
    <row r="40" spans="1:7" x14ac:dyDescent="0.15">
      <c r="A40" t="str">
        <f>HYPERLINK("./new_k5/query_cmdrels_weight_analyze/0.4_0.1_0.5/au_160869.xlsx","au_160869")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HYPERLINK("./new_k5/query_cmdrels_weight_analyze/0.4_0.1_0.5/au_161313.xlsx","au_161313")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</v>
      </c>
    </row>
    <row r="42" spans="1:7" x14ac:dyDescent="0.15">
      <c r="A42" t="str">
        <f>HYPERLINK("./new_k5/query_cmdrels_weight_analyze/0.4_0.1_0.5/au_162075.xlsx","au_162075")</f>
        <v>au_162075</v>
      </c>
      <c r="B42">
        <v>0.25</v>
      </c>
      <c r="C42">
        <v>0.25</v>
      </c>
      <c r="D42">
        <v>0.5</v>
      </c>
      <c r="E42">
        <v>0.5</v>
      </c>
      <c r="F42">
        <v>0.5</v>
      </c>
      <c r="G42">
        <v>0.5</v>
      </c>
    </row>
    <row r="43" spans="1:7" x14ac:dyDescent="0.15">
      <c r="A43" t="str">
        <f>HYPERLINK("./new_k5/query_cmdrels_weight_analyze/0.4_0.1_0.5/au_16277.xlsx","au_16277")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0.83333333333333337</v>
      </c>
    </row>
    <row r="44" spans="1:7" x14ac:dyDescent="0.15">
      <c r="A44" t="str">
        <f>HYPERLINK("./new_k5/query_cmdrels_weight_analyze/0.4_0.1_0.5/au_163155.xlsx","au_163155")</f>
        <v>au_163155</v>
      </c>
      <c r="B44">
        <v>0.125</v>
      </c>
      <c r="C44">
        <v>0.125</v>
      </c>
      <c r="D44">
        <v>0.375</v>
      </c>
      <c r="E44">
        <v>0.25</v>
      </c>
      <c r="F44">
        <v>0.5</v>
      </c>
      <c r="G44">
        <v>0.34375</v>
      </c>
    </row>
    <row r="45" spans="1:7" x14ac:dyDescent="0.15">
      <c r="A45" t="str">
        <f>HYPERLINK("./new_k5/query_cmdrels_weight_analyze/0.4_0.1_0.5/au_164473.xlsx","au_164473")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HYPERLINK("./new_k5/query_cmdrels_weight_analyze/0.4_0.1_0.5/au_16584.xlsx","au_16584")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0.15151515151515149</v>
      </c>
      <c r="F46">
        <v>0.13636363636363641</v>
      </c>
      <c r="G46">
        <v>0.2196969696969697</v>
      </c>
    </row>
    <row r="47" spans="1:7" x14ac:dyDescent="0.15">
      <c r="A47" t="str">
        <f>HYPERLINK("./new_k5/query_cmdrels_weight_analyze/0.4_0.1_0.5/au_166420.xlsx","au_166420")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HYPERLINK("./new_k5/query_cmdrels_weight_analyze/0.4_0.1_0.5/au_169473.xlsx","au_169473")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0.16666666666666671</v>
      </c>
      <c r="F48">
        <v>0.43333333333333329</v>
      </c>
      <c r="G48">
        <v>0.35</v>
      </c>
    </row>
    <row r="49" spans="1:7" x14ac:dyDescent="0.15">
      <c r="A49" t="str">
        <f>HYPERLINK("./new_k5/query_cmdrels_weight_analyze/0.4_0.1_0.5/au_169516.xlsx","au_169516")</f>
        <v>au_169516</v>
      </c>
      <c r="B49">
        <v>0.25</v>
      </c>
      <c r="C49">
        <v>0</v>
      </c>
      <c r="D49">
        <v>0.25</v>
      </c>
      <c r="E49">
        <v>0.29166666666666657</v>
      </c>
      <c r="F49">
        <v>0.25</v>
      </c>
      <c r="G49">
        <v>0.29166666666666657</v>
      </c>
    </row>
    <row r="50" spans="1:7" x14ac:dyDescent="0.15">
      <c r="A50" t="str">
        <f>HYPERLINK("./new_k5/query_cmdrels_weight_analyze/0.4_0.1_0.5/au_174292.xlsx","au_174292")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0.25</v>
      </c>
    </row>
    <row r="51" spans="1:7" x14ac:dyDescent="0.15">
      <c r="A51" t="str">
        <f>HYPERLINK("./new_k5/query_cmdrels_weight_analyze/0.4_0.1_0.5/au_178481.xlsx","au_178481")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HYPERLINK("./new_k5/query_cmdrels_weight_analyze/0.4_0.1_0.5/au_180925.xlsx","au_180925")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HYPERLINK("./new_k5/query_cmdrels_weight_analyze/0.4_0.1_0.5/au_187888.xlsx","au_187888")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HYPERLINK("./new_k5/query_cmdrels_weight_analyze/0.4_0.1_0.5/au_191390.xlsx","au_191390")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HYPERLINK("./new_k5/query_cmdrels_weight_analyze/0.4_0.1_0.5/au_192798.xlsx","au_192798")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HYPERLINK("./new_k5/query_cmdrels_weight_analyze/0.4_0.1_0.5/au_201775.xlsx","au_201775")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0.55555555555555547</v>
      </c>
      <c r="F56">
        <v>0.66666666666666663</v>
      </c>
      <c r="G56">
        <v>0.75555555555555554</v>
      </c>
    </row>
    <row r="57" spans="1:7" x14ac:dyDescent="0.15">
      <c r="A57" t="str">
        <f>HYPERLINK("./new_k5/query_cmdrels_weight_analyze/0.4_0.1_0.5/au_204166.xlsx","au_204166")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HYPERLINK("./new_k5/query_cmdrels_weight_analyze/0.4_0.1_0.5/au_207447.xlsx","au_207447")</f>
        <v>au_207447</v>
      </c>
      <c r="B58">
        <v>0.33333333333333331</v>
      </c>
      <c r="C58">
        <v>0.33333333333333331</v>
      </c>
      <c r="D58">
        <v>0.33333333333333331</v>
      </c>
      <c r="E58">
        <v>0.33333333333333331</v>
      </c>
      <c r="F58">
        <v>0.33333333333333331</v>
      </c>
      <c r="G58">
        <v>0.33333333333333331</v>
      </c>
    </row>
    <row r="59" spans="1:7" x14ac:dyDescent="0.15">
      <c r="A59" t="str">
        <f>HYPERLINK("./new_k5/query_cmdrels_weight_analyze/0.4_0.1_0.5/au_210680.xlsx","au_210680")</f>
        <v>au_210680</v>
      </c>
      <c r="B59">
        <v>0.2</v>
      </c>
      <c r="C59">
        <v>0.2</v>
      </c>
      <c r="D59">
        <v>0.6</v>
      </c>
      <c r="E59">
        <v>0.4</v>
      </c>
      <c r="F59">
        <v>0.6</v>
      </c>
      <c r="G59">
        <v>0.52</v>
      </c>
    </row>
    <row r="60" spans="1:7" x14ac:dyDescent="0.15">
      <c r="A60" t="str">
        <f>HYPERLINK("./new_k5/query_cmdrels_weight_analyze/0.4_0.1_0.5/au_214246.xlsx","au_214246")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HYPERLINK("./new_k5/query_cmdrels_weight_analyze/0.4_0.1_0.5/au_214643.xlsx","au_214643")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HYPERLINK("./new_k5/query_cmdrels_weight_analyze/0.4_0.1_0.5/au_2194.xlsx","au_2194")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0.12857142857142859</v>
      </c>
    </row>
    <row r="63" spans="1:7" x14ac:dyDescent="0.15">
      <c r="A63" t="str">
        <f>HYPERLINK("./new_k5/query_cmdrels_weight_analyze/0.4_0.1_0.5/au_221962.xlsx","au_221962")</f>
        <v>au_221962</v>
      </c>
      <c r="B63">
        <v>0</v>
      </c>
      <c r="C63">
        <v>0</v>
      </c>
      <c r="D63">
        <v>5.5555555555555552E-2</v>
      </c>
      <c r="E63">
        <v>5.5555555555555552E-2</v>
      </c>
      <c r="F63">
        <v>0.1388888888888889</v>
      </c>
      <c r="G63">
        <v>0.1388888888888889</v>
      </c>
    </row>
    <row r="64" spans="1:7" x14ac:dyDescent="0.15">
      <c r="A64" t="str">
        <f>HYPERLINK("./new_k5/query_cmdrels_weight_analyze/0.4_0.1_0.5/au_22608.xlsx","au_22608")</f>
        <v>au_22608</v>
      </c>
      <c r="B64">
        <v>0.33333333333333331</v>
      </c>
      <c r="C64">
        <v>0.33333333333333331</v>
      </c>
      <c r="D64">
        <v>0.33333333333333331</v>
      </c>
      <c r="E64">
        <v>0.33333333333333331</v>
      </c>
      <c r="F64">
        <v>0.33333333333333331</v>
      </c>
      <c r="G64">
        <v>0.5</v>
      </c>
    </row>
    <row r="65" spans="1:7" x14ac:dyDescent="0.15">
      <c r="A65" t="str">
        <f>HYPERLINK("./new_k5/query_cmdrels_weight_analyze/0.4_0.1_0.5/au_230698.xlsx","au_230698")</f>
        <v>au_230698</v>
      </c>
      <c r="B65">
        <v>0.125</v>
      </c>
      <c r="C65">
        <v>0.125</v>
      </c>
      <c r="D65">
        <v>0.25</v>
      </c>
      <c r="E65">
        <v>0.20833333333333329</v>
      </c>
      <c r="F65">
        <v>0.32500000000000001</v>
      </c>
      <c r="G65">
        <v>0.28333333333333333</v>
      </c>
    </row>
    <row r="66" spans="1:7" x14ac:dyDescent="0.15">
      <c r="A66" t="str">
        <f>HYPERLINK("./new_k5/query_cmdrels_weight_analyze/0.4_0.1_0.5/au_232442.xlsx","au_232442")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HYPERLINK("./new_k5/query_cmdrels_weight_analyze/0.4_0.1_0.5/au_233378.xlsx","au_233378")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HYPERLINK("./new_k5/query_cmdrels_weight_analyze/0.4_0.1_0.5/au_24027.xlsx","au_24027")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HYPERLINK("./new_k5/query_cmdrels_weight_analyze/0.4_0.1_0.5/au_246647.xlsx","au_246647")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0.30208333333333331</v>
      </c>
    </row>
    <row r="70" spans="1:7" x14ac:dyDescent="0.15">
      <c r="A70" t="str">
        <f>HYPERLINK("./new_k5/query_cmdrels_weight_analyze/0.4_0.1_0.5/au_254424.xlsx","au_254424")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HYPERLINK("./new_k5/query_cmdrels_weight_analyze/0.4_0.1_0.5/au_255890.xlsx","au_255890")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HYPERLINK("./new_k5/query_cmdrels_weight_analyze/0.4_0.1_0.5/au_257248.xlsx","au_257248")</f>
        <v>au_257248</v>
      </c>
      <c r="B72">
        <v>0</v>
      </c>
      <c r="C72">
        <v>0.14285714285714279</v>
      </c>
      <c r="D72">
        <v>0.16666666666666671</v>
      </c>
      <c r="E72">
        <v>0.23809523809523811</v>
      </c>
      <c r="F72">
        <v>0.25238095238095237</v>
      </c>
      <c r="G72">
        <v>0.32380952380952382</v>
      </c>
    </row>
    <row r="73" spans="1:7" x14ac:dyDescent="0.15">
      <c r="A73" t="str">
        <f>HYPERLINK("./new_k5/query_cmdrels_weight_analyze/0.4_0.1_0.5/au_259354.xlsx","au_259354")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0.5714285714285714</v>
      </c>
    </row>
    <row r="74" spans="1:7" x14ac:dyDescent="0.15">
      <c r="A74" t="str">
        <f>HYPERLINK("./new_k5/query_cmdrels_weight_analyze/0.4_0.1_0.5/au_263378.xlsx","au_263378")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0.47499999999999998</v>
      </c>
    </row>
    <row r="75" spans="1:7" x14ac:dyDescent="0.15">
      <c r="A75" t="str">
        <f>HYPERLINK("./new_k5/query_cmdrels_weight_analyze/0.4_0.1_0.5/au_264215.xlsx","au_264215")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HYPERLINK("./new_k5/query_cmdrels_weight_analyze/0.4_0.1_0.5/au_265176.xlsx","au_265176")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HYPERLINK("./new_k5/query_cmdrels_weight_analyze/0.4_0.1_0.5/au_275704.xlsx","au_275704")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HYPERLINK("./new_k5/query_cmdrels_weight_analyze/0.4_0.1_0.5/au_276669.xlsx","au_276669")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HYPERLINK("./new_k5/query_cmdrels_weight_analyze/0.4_0.1_0.5/au_277565.xlsx","au_277565")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HYPERLINK("./new_k5/query_cmdrels_weight_analyze/0.4_0.1_0.5/au_278403.xlsx","au_278403")</f>
        <v>au_278403</v>
      </c>
      <c r="B80">
        <v>0</v>
      </c>
      <c r="C80">
        <v>0</v>
      </c>
      <c r="D80">
        <v>8.3333333333333329E-2</v>
      </c>
      <c r="E80">
        <v>8.3333333333333329E-2</v>
      </c>
      <c r="F80">
        <v>0.20833333333333329</v>
      </c>
      <c r="G80">
        <v>0.20833333333333329</v>
      </c>
    </row>
    <row r="81" spans="1:7" x14ac:dyDescent="0.15">
      <c r="A81" t="str">
        <f>HYPERLINK("./new_k5/query_cmdrels_weight_analyze/0.4_0.1_0.5/au_28039.xlsx","au_28039")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HYPERLINK("./new_k5/query_cmdrels_weight_analyze/0.4_0.1_0.5/au_281509.xlsx","au_281509")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HYPERLINK("./new_k5/query_cmdrels_weight_analyze/0.4_0.1_0.5/au_282806.xlsx","au_282806")</f>
        <v>au_282806</v>
      </c>
      <c r="B83">
        <v>0</v>
      </c>
      <c r="C83">
        <v>0</v>
      </c>
      <c r="D83">
        <v>0.38888888888888878</v>
      </c>
      <c r="E83">
        <v>0</v>
      </c>
      <c r="F83">
        <v>0.38888888888888878</v>
      </c>
      <c r="G83">
        <v>8.3333333333333329E-2</v>
      </c>
    </row>
    <row r="84" spans="1:7" x14ac:dyDescent="0.15">
      <c r="A84" t="str">
        <f>HYPERLINK("./new_k5/query_cmdrels_weight_analyze/0.4_0.1_0.5/au_283559.xlsx","au_283559")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HYPERLINK("./new_k5/query_cmdrels_weight_analyze/0.4_0.1_0.5/au_285539.xlsx","au_285539")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HYPERLINK("./new_k5/query_cmdrels_weight_analyze/0.4_0.1_0.5/au_287532.xlsx","au_287532")</f>
        <v>au_287532</v>
      </c>
      <c r="B86">
        <v>0</v>
      </c>
      <c r="C86">
        <v>0</v>
      </c>
      <c r="D86">
        <v>0</v>
      </c>
      <c r="E86">
        <v>8.3333333333333329E-2</v>
      </c>
      <c r="F86">
        <v>0</v>
      </c>
      <c r="G86">
        <v>8.3333333333333329E-2</v>
      </c>
    </row>
    <row r="87" spans="1:7" x14ac:dyDescent="0.15">
      <c r="A87" t="str">
        <f>HYPERLINK("./new_k5/query_cmdrels_weight_analyze/0.4_0.1_0.5/au_294257.xlsx","au_294257")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HYPERLINK("./new_k5/query_cmdrels_weight_analyze/0.4_0.1_0.5/au_296155.xlsx","au_296155")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HYPERLINK("./new_k5/query_cmdrels_weight_analyze/0.4_0.1_0.5/au_299975.xlsx","au_299975")</f>
        <v>au_299975</v>
      </c>
      <c r="B89">
        <v>0.25</v>
      </c>
      <c r="C89">
        <v>0</v>
      </c>
      <c r="D89">
        <v>0.5</v>
      </c>
      <c r="E89">
        <v>8.3333333333333329E-2</v>
      </c>
      <c r="F89">
        <v>0.6875</v>
      </c>
      <c r="G89">
        <v>8.3333333333333329E-2</v>
      </c>
    </row>
    <row r="90" spans="1:7" x14ac:dyDescent="0.15">
      <c r="A90" t="str">
        <f>HYPERLINK("./new_k5/query_cmdrels_weight_analyze/0.4_0.1_0.5/au_301096.xlsx","au_301096")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HYPERLINK("./new_k5/query_cmdrels_weight_analyze/0.4_0.1_0.5/au_303593.xlsx","au_303593")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HYPERLINK("./new_k5/query_cmdrels_weight_analyze/0.4_0.1_0.5/au_303849.xlsx","au_303849")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HYPERLINK("./new_k5/query_cmdrels_weight_analyze/0.4_0.1_0.5/au_307541.xlsx","au_307541")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HYPERLINK("./new_k5/query_cmdrels_weight_analyze/0.4_0.1_0.5/au_307688.xlsx","au_307688")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HYPERLINK("./new_k5/query_cmdrels_weight_analyze/0.4_0.1_0.5/au_309047.xlsx","au_309047")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HYPERLINK("./new_k5/query_cmdrels_weight_analyze/0.4_0.1_0.5/au_311558.xlsx","au_311558")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0.60416666666666663</v>
      </c>
    </row>
    <row r="97" spans="1:7" x14ac:dyDescent="0.15">
      <c r="A97" t="str">
        <f>HYPERLINK("./new_k5/query_cmdrels_weight_analyze/0.4_0.1_0.5/au_318973.xlsx","au_318973")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HYPERLINK("./new_k5/query_cmdrels_weight_analyze/0.4_0.1_0.5/au_3205.xlsx","au_3205")</f>
        <v>au_3205</v>
      </c>
      <c r="B98">
        <v>0.5</v>
      </c>
      <c r="C98">
        <v>0.5</v>
      </c>
      <c r="D98">
        <v>0.5</v>
      </c>
      <c r="E98">
        <v>0.5</v>
      </c>
      <c r="F98">
        <v>0.5</v>
      </c>
      <c r="G98">
        <v>0.5</v>
      </c>
    </row>
    <row r="99" spans="1:7" x14ac:dyDescent="0.15">
      <c r="A99" t="str">
        <f>HYPERLINK("./new_k5/query_cmdrels_weight_analyze/0.4_0.1_0.5/au_323131.xlsx","au_323131")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0.55555555555555547</v>
      </c>
      <c r="F99">
        <v>0.33333333333333331</v>
      </c>
      <c r="G99">
        <v>0.55555555555555547</v>
      </c>
    </row>
    <row r="100" spans="1:7" x14ac:dyDescent="0.15">
      <c r="A100" t="str">
        <f>HYPERLINK("./new_k5/query_cmdrels_weight_analyze/0.4_0.1_0.5/au_323392.xlsx","au_323392")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HYPERLINK("./new_k5/query_cmdrels_weight_analyze/0.4_0.1_0.5/au_325368.xlsx","au_325368")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HYPERLINK("./new_k5/query_cmdrels_weight_analyze/0.4_0.1_0.5/au_328162.xlsx","au_328162")</f>
        <v>au_328162</v>
      </c>
      <c r="B102">
        <v>0.33333333333333331</v>
      </c>
      <c r="C102">
        <v>0.33333333333333331</v>
      </c>
      <c r="D102">
        <v>1</v>
      </c>
      <c r="E102">
        <v>0.66666666666666663</v>
      </c>
      <c r="F102">
        <v>1</v>
      </c>
      <c r="G102">
        <v>0.66666666666666663</v>
      </c>
    </row>
    <row r="103" spans="1:7" x14ac:dyDescent="0.15">
      <c r="A103" t="str">
        <f>HYPERLINK("./new_k5/query_cmdrels_weight_analyze/0.4_0.1_0.5/au_330148.xlsx","au_330148")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0.52</v>
      </c>
    </row>
    <row r="104" spans="1:7" x14ac:dyDescent="0.15">
      <c r="A104" t="str">
        <f>HYPERLINK("./new_k5/query_cmdrels_weight_analyze/0.4_0.1_0.5/au_332315.xlsx","au_332315")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HYPERLINK("./new_k5/query_cmdrels_weight_analyze/0.4_0.1_0.5/au_334081.xlsx","au_334081")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HYPERLINK("./new_k5/query_cmdrels_weight_analyze/0.4_0.1_0.5/au_34077.xlsx","au_34077")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0.33333333333333331</v>
      </c>
      <c r="F106">
        <v>0.33333333333333331</v>
      </c>
      <c r="G106">
        <v>0.59166666666666667</v>
      </c>
    </row>
    <row r="107" spans="1:7" x14ac:dyDescent="0.15">
      <c r="A107" t="str">
        <f>HYPERLINK("./new_k5/query_cmdrels_weight_analyze/0.4_0.1_0.5/au_341428.xlsx","au_341428")</f>
        <v>au_341428</v>
      </c>
      <c r="B107">
        <v>0.14285714285714279</v>
      </c>
      <c r="C107">
        <v>0</v>
      </c>
      <c r="D107">
        <v>0.42857142857142849</v>
      </c>
      <c r="E107">
        <v>0.16666666666666671</v>
      </c>
      <c r="F107">
        <v>0.5714285714285714</v>
      </c>
      <c r="G107">
        <v>0.25238095238095237</v>
      </c>
    </row>
    <row r="108" spans="1:7" x14ac:dyDescent="0.15">
      <c r="A108" t="str">
        <f>HYPERLINK("./new_k5/query_cmdrels_weight_analyze/0.4_0.1_0.5/au_341584.xlsx","au_341584")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HYPERLINK("./new_k5/query_cmdrels_weight_analyze/0.4_0.1_0.5/au_346864.xlsx","au_346864")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0.2857142857142857</v>
      </c>
      <c r="F109">
        <v>0.23809523809523811</v>
      </c>
      <c r="G109">
        <v>0.39285714285714279</v>
      </c>
    </row>
    <row r="110" spans="1:7" x14ac:dyDescent="0.15">
      <c r="A110" t="str">
        <f>HYPERLINK("./new_k5/query_cmdrels_weight_analyze/0.4_0.1_0.5/au_351765.xlsx","au_351765")</f>
        <v>au_351765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15">
      <c r="A111" t="str">
        <f>HYPERLINK("./new_k5/query_cmdrels_weight_analyze/0.4_0.1_0.5/au_35922.xlsx","au_35922")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HYPERLINK("./new_k5/query_cmdrels_weight_analyze/0.4_0.1_0.5/au_359856.xlsx","au_359856")</f>
        <v>au_359856</v>
      </c>
      <c r="B112">
        <v>0.25</v>
      </c>
      <c r="C112">
        <v>0.25</v>
      </c>
      <c r="D112">
        <v>0.75</v>
      </c>
      <c r="E112">
        <v>0.5</v>
      </c>
      <c r="F112">
        <v>0.95</v>
      </c>
      <c r="G112">
        <v>0.5</v>
      </c>
    </row>
    <row r="113" spans="1:7" x14ac:dyDescent="0.15">
      <c r="A113" t="str">
        <f>HYPERLINK("./new_k5/query_cmdrels_weight_analyze/0.4_0.1_0.5/au_360423.xlsx","au_360423")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HYPERLINK("./new_k5/query_cmdrels_weight_analyze/0.4_0.1_0.5/au_36287.xlsx","au_36287")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HYPERLINK("./new_k5/query_cmdrels_weight_analyze/0.4_0.1_0.5/au_366742.xlsx","au_366742")</f>
        <v>au_366742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6.25E-2</v>
      </c>
    </row>
    <row r="116" spans="1:7" x14ac:dyDescent="0.15">
      <c r="A116" t="str">
        <f>HYPERLINK("./new_k5/query_cmdrels_weight_analyze/0.4_0.1_0.5/au_377937.xlsx","au_377937")</f>
        <v>au_377937</v>
      </c>
      <c r="B116">
        <v>0.25</v>
      </c>
      <c r="C116">
        <v>0.25</v>
      </c>
      <c r="D116">
        <v>0.5</v>
      </c>
      <c r="E116">
        <v>0.75</v>
      </c>
      <c r="F116">
        <v>0.5</v>
      </c>
      <c r="G116">
        <v>0.75</v>
      </c>
    </row>
    <row r="117" spans="1:7" x14ac:dyDescent="0.15">
      <c r="A117" t="str">
        <f>HYPERLINK("./new_k5/query_cmdrels_weight_analyze/0.4_0.1_0.5/au_383997.xlsx","au_383997")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0.50714285714285712</v>
      </c>
    </row>
    <row r="118" spans="1:7" x14ac:dyDescent="0.15">
      <c r="A118" t="str">
        <f>HYPERLINK("./new_k5/query_cmdrels_weight_analyze/0.4_0.1_0.5/au_3883.xlsx","au_3883")</f>
        <v>au_3883</v>
      </c>
      <c r="B118">
        <v>0.25</v>
      </c>
      <c r="C118">
        <v>0.25</v>
      </c>
      <c r="D118">
        <v>0.25</v>
      </c>
      <c r="E118">
        <v>0.5</v>
      </c>
      <c r="F118">
        <v>0.375</v>
      </c>
      <c r="G118">
        <v>0.5</v>
      </c>
    </row>
    <row r="119" spans="1:7" x14ac:dyDescent="0.15">
      <c r="A119" t="str">
        <f>HYPERLINK("./new_k5/query_cmdrels_weight_analyze/0.4_0.1_0.5/au_396883.xlsx","au_396883")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HYPERLINK("./new_k5/query_cmdrels_weight_analyze/0.4_0.1_0.5/au_39760.xlsx","au_39760")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HYPERLINK("./new_k5/query_cmdrels_weight_analyze/0.4_0.1_0.5/au_398818.xlsx","au_398818")</f>
        <v>au_398818</v>
      </c>
      <c r="B121">
        <v>0.5</v>
      </c>
      <c r="C121">
        <v>0.5</v>
      </c>
      <c r="D121">
        <v>0.83333333333333326</v>
      </c>
      <c r="E121">
        <v>0.5</v>
      </c>
      <c r="F121">
        <v>0.83333333333333326</v>
      </c>
      <c r="G121">
        <v>0.75</v>
      </c>
    </row>
    <row r="122" spans="1:7" x14ac:dyDescent="0.15">
      <c r="A122" t="str">
        <f>HYPERLINK("./new_k5/query_cmdrels_weight_analyze/0.4_0.1_0.5/au_400807.xlsx","au_400807")</f>
        <v>au_400807</v>
      </c>
      <c r="B122">
        <v>0</v>
      </c>
      <c r="C122">
        <v>0.33333333333333331</v>
      </c>
      <c r="D122">
        <v>0.16666666666666671</v>
      </c>
      <c r="E122">
        <v>0.55555555555555547</v>
      </c>
      <c r="F122">
        <v>0.16666666666666671</v>
      </c>
      <c r="G122">
        <v>0.80555555555555547</v>
      </c>
    </row>
    <row r="123" spans="1:7" x14ac:dyDescent="0.15">
      <c r="A123" t="str">
        <f>HYPERLINK("./new_k5/query_cmdrels_weight_analyze/0.4_0.1_0.5/au_408611.xlsx","au_408611")</f>
        <v>au_408611</v>
      </c>
      <c r="B123">
        <v>0.33333333333333331</v>
      </c>
      <c r="C123">
        <v>0</v>
      </c>
      <c r="D123">
        <v>0.33333333333333331</v>
      </c>
      <c r="E123">
        <v>0.16666666666666671</v>
      </c>
      <c r="F123">
        <v>0.33333333333333331</v>
      </c>
      <c r="G123">
        <v>0.16666666666666671</v>
      </c>
    </row>
    <row r="124" spans="1:7" x14ac:dyDescent="0.15">
      <c r="A124" t="str">
        <f>HYPERLINK("./new_k5/query_cmdrels_weight_analyze/0.4_0.1_0.5/au_414737.xlsx","au_414737")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HYPERLINK("./new_k5/query_cmdrels_weight_analyze/0.4_0.1_0.5/au_420722.xlsx","au_420722")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HYPERLINK("./new_k5/query_cmdrels_weight_analyze/0.4_0.1_0.5/au_423942.xlsx","au_423942")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0.55555555555555547</v>
      </c>
      <c r="F126">
        <v>0.8666666666666667</v>
      </c>
      <c r="G126">
        <v>0.55555555555555547</v>
      </c>
    </row>
    <row r="127" spans="1:7" x14ac:dyDescent="0.15">
      <c r="A127" t="str">
        <f>HYPERLINK("./new_k5/query_cmdrels_weight_analyze/0.4_0.1_0.5/au_430382.xlsx","au_430382")</f>
        <v>au_430382</v>
      </c>
      <c r="B127">
        <v>0</v>
      </c>
      <c r="C127">
        <v>0.25</v>
      </c>
      <c r="D127">
        <v>0.29166666666666657</v>
      </c>
      <c r="E127">
        <v>0.41666666666666657</v>
      </c>
      <c r="F127">
        <v>0.29166666666666657</v>
      </c>
      <c r="G127">
        <v>0.41666666666666657</v>
      </c>
    </row>
    <row r="128" spans="1:7" x14ac:dyDescent="0.15">
      <c r="A128" t="str">
        <f>HYPERLINK("./new_k5/query_cmdrels_weight_analyze/0.4_0.1_0.5/au_432836.xlsx","au_432836")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HYPERLINK("./new_k5/query_cmdrels_weight_analyze/0.4_0.1_0.5/au_440326.xlsx","au_440326")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HYPERLINK("./new_k5/query_cmdrels_weight_analyze/0.4_0.1_0.5/au_442914.xlsx","au_442914")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HYPERLINK("./new_k5/query_cmdrels_weight_analyze/0.4_0.1_0.5/au_443227.xlsx","au_443227")</f>
        <v>au_443227</v>
      </c>
      <c r="B131">
        <v>0.5</v>
      </c>
      <c r="C131">
        <v>0.5</v>
      </c>
      <c r="D131">
        <v>0.5</v>
      </c>
      <c r="E131">
        <v>0.5</v>
      </c>
      <c r="F131">
        <v>0.5</v>
      </c>
      <c r="G131">
        <v>0.5</v>
      </c>
    </row>
    <row r="132" spans="1:7" x14ac:dyDescent="0.15">
      <c r="A132" t="str">
        <f>HYPERLINK("./new_k5/query_cmdrels_weight_analyze/0.4_0.1_0.5/au_44534.xlsx","au_44534")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HYPERLINK("./new_k5/query_cmdrels_weight_analyze/0.4_0.1_0.5/au_451805.xlsx","au_451805")</f>
        <v>au_451805</v>
      </c>
      <c r="B133">
        <v>0.33333333333333331</v>
      </c>
      <c r="C133">
        <v>0</v>
      </c>
      <c r="D133">
        <v>0.33333333333333331</v>
      </c>
      <c r="E133">
        <v>0.1111111111111111</v>
      </c>
      <c r="F133">
        <v>0.33333333333333331</v>
      </c>
      <c r="G133">
        <v>0.1111111111111111</v>
      </c>
    </row>
    <row r="134" spans="1:7" x14ac:dyDescent="0.15">
      <c r="A134" t="str">
        <f>HYPERLINK("./new_k5/query_cmdrels_weight_analyze/0.4_0.1_0.5/au_464264.xlsx","au_464264")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6.6666666666666666E-2</v>
      </c>
    </row>
    <row r="135" spans="1:7" x14ac:dyDescent="0.15">
      <c r="A135" t="str">
        <f>HYPERLINK("./new_k5/query_cmdrels_weight_analyze/0.4_0.1_0.5/au_468808.xlsx","au_468808")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HYPERLINK("./new_k5/query_cmdrels_weight_analyze/0.4_0.1_0.5/au_469143.xlsx","au_469143")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0.33333333333333331</v>
      </c>
    </row>
    <row r="137" spans="1:7" x14ac:dyDescent="0.15">
      <c r="A137" t="str">
        <f>HYPERLINK("./new_k5/query_cmdrels_weight_analyze/0.4_0.1_0.5/au_470237.xlsx","au_470237")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HYPERLINK("./new_k5/query_cmdrels_weight_analyze/0.4_0.1_0.5/au_473037.xlsx","au_473037")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</v>
      </c>
    </row>
    <row r="139" spans="1:7" x14ac:dyDescent="0.15">
      <c r="A139" t="str">
        <f>HYPERLINK("./new_k5/query_cmdrels_weight_analyze/0.4_0.1_0.5/au_48362.xlsx","au_48362")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HYPERLINK("./new_k5/query_cmdrels_weight_analyze/0.4_0.1_0.5/au_488435.xlsx","au_488435")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HYPERLINK("./new_k5/query_cmdrels_weight_analyze/0.4_0.1_0.5/au_493826.xlsx","au_493826")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HYPERLINK("./new_k5/query_cmdrels_weight_analyze/0.4_0.1_0.5/au_502110.xlsx","au_502110")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HYPERLINK("./new_k5/query_cmdrels_weight_analyze/0.4_0.1_0.5/au_50344.xlsx","au_50344")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HYPERLINK("./new_k5/query_cmdrels_weight_analyze/0.4_0.1_0.5/au_511467.xlsx","au_511467")</f>
        <v>au_511467</v>
      </c>
      <c r="B144">
        <v>0</v>
      </c>
      <c r="C144">
        <v>0.16666666666666671</v>
      </c>
      <c r="D144">
        <v>0.19444444444444439</v>
      </c>
      <c r="E144">
        <v>0.16666666666666671</v>
      </c>
      <c r="F144">
        <v>0.19444444444444439</v>
      </c>
      <c r="G144">
        <v>0.16666666666666671</v>
      </c>
    </row>
    <row r="145" spans="1:7" x14ac:dyDescent="0.15">
      <c r="A145" t="str">
        <f>HYPERLINK("./new_k5/query_cmdrels_weight_analyze/0.4_0.1_0.5/au_513046.xlsx","au_513046")</f>
        <v>au_513046</v>
      </c>
      <c r="B145">
        <v>0.25</v>
      </c>
      <c r="C145">
        <v>0</v>
      </c>
      <c r="D145">
        <v>0.5</v>
      </c>
      <c r="E145">
        <v>0.29166666666666657</v>
      </c>
      <c r="F145">
        <v>0.5</v>
      </c>
      <c r="G145">
        <v>0.44166666666666671</v>
      </c>
    </row>
    <row r="146" spans="1:7" x14ac:dyDescent="0.15">
      <c r="A146" t="str">
        <f>HYPERLINK("./new_k5/query_cmdrels_weight_analyze/0.4_0.1_0.5/au_517354.xlsx","au_517354")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0.14285714285714279</v>
      </c>
      <c r="F146">
        <v>0.2142857142857143</v>
      </c>
      <c r="G146">
        <v>0.2142857142857143</v>
      </c>
    </row>
    <row r="147" spans="1:7" x14ac:dyDescent="0.15">
      <c r="A147" t="str">
        <f>HYPERLINK("./new_k5/query_cmdrels_weight_analyze/0.4_0.1_0.5/au_522431.xlsx","au_522431")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0.23333333333333331</v>
      </c>
    </row>
    <row r="148" spans="1:7" x14ac:dyDescent="0.15">
      <c r="A148" t="str">
        <f>HYPERLINK("./new_k5/query_cmdrels_weight_analyze/0.4_0.1_0.5/au_52773.xlsx","au_52773")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0.04</v>
      </c>
    </row>
    <row r="149" spans="1:7" x14ac:dyDescent="0.15">
      <c r="A149" t="str">
        <f>HYPERLINK("./new_k5/query_cmdrels_weight_analyze/0.4_0.1_0.5/au_528411.xlsx","au_528411")</f>
        <v>au_528411</v>
      </c>
      <c r="B149">
        <v>0</v>
      </c>
      <c r="C149">
        <v>0.5</v>
      </c>
      <c r="D149">
        <v>0</v>
      </c>
      <c r="E149">
        <v>0.5</v>
      </c>
      <c r="F149">
        <v>0</v>
      </c>
      <c r="G149">
        <v>0.5</v>
      </c>
    </row>
    <row r="150" spans="1:7" x14ac:dyDescent="0.15">
      <c r="A150" t="str">
        <f>HYPERLINK("./new_k5/query_cmdrels_weight_analyze/0.4_0.1_0.5/au_53263.xlsx","au_53263")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0.75</v>
      </c>
    </row>
    <row r="151" spans="1:7" x14ac:dyDescent="0.15">
      <c r="A151" t="str">
        <f>HYPERLINK("./new_k5/query_cmdrels_weight_analyze/0.4_0.1_0.5/au_53444.xlsx","au_53444")</f>
        <v>au_53444</v>
      </c>
      <c r="B151">
        <v>0.5</v>
      </c>
      <c r="C151">
        <v>0</v>
      </c>
      <c r="D151">
        <v>0.5</v>
      </c>
      <c r="E151">
        <v>0</v>
      </c>
      <c r="F151">
        <v>0.5</v>
      </c>
      <c r="G151">
        <v>0</v>
      </c>
    </row>
    <row r="152" spans="1:7" x14ac:dyDescent="0.15">
      <c r="A152" t="str">
        <f>HYPERLINK("./new_k5/query_cmdrels_weight_analyze/0.4_0.1_0.5/au_538208.xlsx","au_538208")</f>
        <v>au_538208</v>
      </c>
      <c r="B152">
        <v>0.125</v>
      </c>
      <c r="C152">
        <v>0.125</v>
      </c>
      <c r="D152">
        <v>0.375</v>
      </c>
      <c r="E152">
        <v>0.375</v>
      </c>
      <c r="F152">
        <v>0.5</v>
      </c>
      <c r="G152">
        <v>0.5</v>
      </c>
    </row>
    <row r="153" spans="1:7" x14ac:dyDescent="0.15">
      <c r="A153" t="str">
        <f>HYPERLINK("./new_k5/query_cmdrels_weight_analyze/0.4_0.1_0.5/au_53822.xlsx","au_53822")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HYPERLINK("./new_k5/query_cmdrels_weight_analyze/0.4_0.1_0.5/au_539243.xlsx","au_539243")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0.33333333333333331</v>
      </c>
    </row>
    <row r="155" spans="1:7" x14ac:dyDescent="0.15">
      <c r="A155" t="str">
        <f>HYPERLINK("./new_k5/query_cmdrels_weight_analyze/0.4_0.1_0.5/au_558280.xlsx","au_558280")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0.63888888888888884</v>
      </c>
    </row>
    <row r="156" spans="1:7" x14ac:dyDescent="0.15">
      <c r="A156" t="str">
        <f>HYPERLINK("./new_k5/query_cmdrels_weight_analyze/0.4_0.1_0.5/au_558669.xlsx","au_558669")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HYPERLINK("./new_k5/query_cmdrels_weight_analyze/0.4_0.1_0.5/au_55868.xlsx","au_55868")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0.21296296296296291</v>
      </c>
    </row>
    <row r="158" spans="1:7" x14ac:dyDescent="0.15">
      <c r="A158" t="str">
        <f>HYPERLINK("./new_k5/query_cmdrels_weight_analyze/0.4_0.1_0.5/au_561.xlsx","au_561")</f>
        <v>au_561</v>
      </c>
      <c r="B158">
        <v>0.25</v>
      </c>
      <c r="C158">
        <v>0.25</v>
      </c>
      <c r="D158">
        <v>0.25</v>
      </c>
      <c r="E158">
        <v>0.25</v>
      </c>
      <c r="F158">
        <v>0.25</v>
      </c>
      <c r="G158">
        <v>0.375</v>
      </c>
    </row>
    <row r="159" spans="1:7" x14ac:dyDescent="0.15">
      <c r="A159" t="str">
        <f>HYPERLINK("./new_k5/query_cmdrels_weight_analyze/0.4_0.1_0.5/au_564567.xlsx","au_564567")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HYPERLINK("./new_k5/query_cmdrels_weight_analyze/0.4_0.1_0.5/au_57994.xlsx","au_57994")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0.54285714285714282</v>
      </c>
    </row>
    <row r="161" spans="1:7" x14ac:dyDescent="0.15">
      <c r="A161" t="str">
        <f>HYPERLINK("./new_k5/query_cmdrels_weight_analyze/0.4_0.1_0.5/au_589210.xlsx","au_589210")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0.375</v>
      </c>
    </row>
    <row r="162" spans="1:7" x14ac:dyDescent="0.15">
      <c r="A162" t="str">
        <f>HYPERLINK("./new_k5/query_cmdrels_weight_analyze/0.4_0.1_0.5/au_5911.xlsx","au_5911")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HYPERLINK("./new_k5/query_cmdrels_weight_analyze/0.4_0.1_0.5/au_59356.xlsx","au_59356")</f>
        <v>au_59356</v>
      </c>
      <c r="B163">
        <v>0</v>
      </c>
      <c r="C163">
        <v>0</v>
      </c>
      <c r="D163">
        <v>0.16666666666666671</v>
      </c>
      <c r="E163">
        <v>0.25</v>
      </c>
      <c r="F163">
        <v>0.16666666666666671</v>
      </c>
      <c r="G163">
        <v>0.25</v>
      </c>
    </row>
    <row r="164" spans="1:7" x14ac:dyDescent="0.15">
      <c r="A164" t="str">
        <f>HYPERLINK("./new_k5/query_cmdrels_weight_analyze/0.4_0.1_0.5/au_609850.xlsx","au_609850")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HYPERLINK("./new_k5/query_cmdrels_weight_analyze/0.4_0.1_0.5/au_61408.xlsx","au_61408")</f>
        <v>au_61408</v>
      </c>
      <c r="B165">
        <v>0</v>
      </c>
      <c r="C165">
        <v>0.33333333333333331</v>
      </c>
      <c r="D165">
        <v>0.16666666666666671</v>
      </c>
      <c r="E165">
        <v>0.55555555555555547</v>
      </c>
      <c r="F165">
        <v>0.16666666666666671</v>
      </c>
      <c r="G165">
        <v>0.55555555555555547</v>
      </c>
    </row>
    <row r="166" spans="1:7" x14ac:dyDescent="0.15">
      <c r="A166" t="str">
        <f>HYPERLINK("./new_k5/query_cmdrels_weight_analyze/0.4_0.1_0.5/au_617850.xlsx","au_617850")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HYPERLINK("./new_k5/query_cmdrels_weight_analyze/0.4_0.1_0.5/au_62073.xlsx","au_62073")</f>
        <v>au_62073</v>
      </c>
      <c r="B167">
        <v>0</v>
      </c>
      <c r="C167">
        <v>0.2</v>
      </c>
      <c r="D167">
        <v>0.23333333333333331</v>
      </c>
      <c r="E167">
        <v>0.4</v>
      </c>
      <c r="F167">
        <v>0.23333333333333331</v>
      </c>
      <c r="G167">
        <v>0.71</v>
      </c>
    </row>
    <row r="168" spans="1:7" x14ac:dyDescent="0.15">
      <c r="A168" t="str">
        <f>HYPERLINK("./new_k5/query_cmdrels_weight_analyze/0.4_0.1_0.5/au_620930.xlsx","au_620930")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0.48333333333333328</v>
      </c>
    </row>
    <row r="169" spans="1:7" x14ac:dyDescent="0.15">
      <c r="A169" t="str">
        <f>HYPERLINK("./new_k5/query_cmdrels_weight_analyze/0.4_0.1_0.5/au_62492.xlsx","au_62492")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HYPERLINK("./new_k5/query_cmdrels_weight_analyze/0.4_0.1_0.5/au_626078.xlsx","au_626078")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HYPERLINK("./new_k5/query_cmdrels_weight_analyze/0.4_0.1_0.5/au_636944.xlsx","au_636944")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HYPERLINK("./new_k5/query_cmdrels_weight_analyze/0.4_0.1_0.5/au_648603.xlsx","au_648603")</f>
        <v>au_648603</v>
      </c>
      <c r="B172">
        <v>0.25</v>
      </c>
      <c r="C172">
        <v>0.25</v>
      </c>
      <c r="D172">
        <v>0.25</v>
      </c>
      <c r="E172">
        <v>0.41666666666666657</v>
      </c>
      <c r="F172">
        <v>0.25</v>
      </c>
      <c r="G172">
        <v>0.56666666666666665</v>
      </c>
    </row>
    <row r="173" spans="1:7" x14ac:dyDescent="0.15">
      <c r="A173" t="str">
        <f>HYPERLINK("./new_k5/query_cmdrels_weight_analyze/0.4_0.1_0.5/au_65331.xlsx","au_65331")</f>
        <v>au_65331</v>
      </c>
      <c r="B173">
        <v>0</v>
      </c>
      <c r="C173">
        <v>0.16666666666666671</v>
      </c>
      <c r="D173">
        <v>8.3333333333333329E-2</v>
      </c>
      <c r="E173">
        <v>0.33333333333333331</v>
      </c>
      <c r="F173">
        <v>0.16666666666666671</v>
      </c>
      <c r="G173">
        <v>0.45833333333333331</v>
      </c>
    </row>
    <row r="174" spans="1:7" x14ac:dyDescent="0.15">
      <c r="A174" t="str">
        <f>HYPERLINK("./new_k5/query_cmdrels_weight_analyze/0.4_0.1_0.5/au_66000.xlsx","au_66000")</f>
        <v>au_66000</v>
      </c>
      <c r="B174">
        <v>0</v>
      </c>
      <c r="C174">
        <v>0.2</v>
      </c>
      <c r="D174">
        <v>0</v>
      </c>
      <c r="E174">
        <v>0.4</v>
      </c>
      <c r="F174">
        <v>0</v>
      </c>
      <c r="G174">
        <v>0.71</v>
      </c>
    </row>
    <row r="175" spans="1:7" x14ac:dyDescent="0.15">
      <c r="A175" t="str">
        <f>HYPERLINK("./new_k5/query_cmdrels_weight_analyze/0.4_0.1_0.5/au_660846.xlsx","au_660846")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HYPERLINK("./new_k5/query_cmdrels_weight_analyze/0.4_0.1_0.5/au_662935.xlsx","au_662935")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0.25</v>
      </c>
    </row>
    <row r="177" spans="1:7" x14ac:dyDescent="0.15">
      <c r="A177" t="str">
        <f>HYPERLINK("./new_k5/query_cmdrels_weight_analyze/0.4_0.1_0.5/au_67663.xlsx","au_67663")</f>
        <v>au_67663</v>
      </c>
      <c r="B177">
        <v>0</v>
      </c>
      <c r="C177">
        <v>0.25</v>
      </c>
      <c r="D177">
        <v>0.29166666666666657</v>
      </c>
      <c r="E177">
        <v>0.5</v>
      </c>
      <c r="F177">
        <v>0.29166666666666657</v>
      </c>
      <c r="G177">
        <v>0.5</v>
      </c>
    </row>
    <row r="178" spans="1:7" x14ac:dyDescent="0.15">
      <c r="A178" t="str">
        <f>HYPERLINK("./new_k5/query_cmdrels_weight_analyze/0.4_0.1_0.5/au_68028.xlsx","au_68028")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0.2857142857142857</v>
      </c>
      <c r="F178">
        <v>0.37142857142857139</v>
      </c>
      <c r="G178">
        <v>0.2857142857142857</v>
      </c>
    </row>
    <row r="179" spans="1:7" x14ac:dyDescent="0.15">
      <c r="A179" t="str">
        <f>HYPERLINK("./new_k5/query_cmdrels_weight_analyze/0.4_0.1_0.5/au_681312.xlsx","au_681312")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0.42857142857142849</v>
      </c>
      <c r="F179">
        <v>0.42857142857142849</v>
      </c>
      <c r="G179">
        <v>0.5714285714285714</v>
      </c>
    </row>
    <row r="180" spans="1:7" x14ac:dyDescent="0.15">
      <c r="A180" t="str">
        <f>HYPERLINK("./new_k5/query_cmdrels_weight_analyze/0.4_0.1_0.5/au_686239.xlsx","au_686239")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15">
      <c r="A181" t="str">
        <f>HYPERLINK("./new_k5/query_cmdrels_weight_analyze/0.4_0.1_0.5/au_68809.xlsx","au_68809")</f>
        <v>au_68809</v>
      </c>
      <c r="B181">
        <v>0.125</v>
      </c>
      <c r="C181">
        <v>0.125</v>
      </c>
      <c r="D181">
        <v>0.20833333333333329</v>
      </c>
      <c r="E181">
        <v>0.25</v>
      </c>
      <c r="F181">
        <v>0.28333333333333333</v>
      </c>
      <c r="G181">
        <v>0.25</v>
      </c>
    </row>
    <row r="182" spans="1:7" x14ac:dyDescent="0.15">
      <c r="A182" t="str">
        <f>HYPERLINK("./new_k5/query_cmdrels_weight_analyze/0.4_0.1_0.5/au_69556.xlsx","au_69556")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HYPERLINK("./new_k5/query_cmdrels_weight_analyze/0.4_0.1_0.5/au_698993.xlsx","au_698993")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HYPERLINK("./new_k5/query_cmdrels_weight_analyze/0.4_0.1_0.5/au_707881.xlsx","au_707881")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0.16666666666666671</v>
      </c>
    </row>
    <row r="185" spans="1:7" x14ac:dyDescent="0.15">
      <c r="A185" t="str">
        <f>HYPERLINK("./new_k5/query_cmdrels_weight_analyze/0.4_0.1_0.5/au_709594.xlsx","au_709594")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HYPERLINK("./new_k5/query_cmdrels_weight_analyze/0.4_0.1_0.5/au_71309.xlsx","au_71309")</f>
        <v>au_71309</v>
      </c>
      <c r="B186">
        <v>0.125</v>
      </c>
      <c r="C186">
        <v>0.125</v>
      </c>
      <c r="D186">
        <v>0.20833333333333329</v>
      </c>
      <c r="E186">
        <v>0.125</v>
      </c>
      <c r="F186">
        <v>0.20833333333333329</v>
      </c>
      <c r="G186">
        <v>0.26250000000000001</v>
      </c>
    </row>
    <row r="187" spans="1:7" x14ac:dyDescent="0.15">
      <c r="A187" t="str">
        <f>HYPERLINK("./new_k5/query_cmdrels_weight_analyze/0.4_0.1_0.5/au_7138.xlsx","au_7138")</f>
        <v>au_7138</v>
      </c>
      <c r="B187">
        <v>0.25</v>
      </c>
      <c r="C187">
        <v>0</v>
      </c>
      <c r="D187">
        <v>0.75</v>
      </c>
      <c r="E187">
        <v>8.3333333333333329E-2</v>
      </c>
      <c r="F187">
        <v>0.75</v>
      </c>
      <c r="G187">
        <v>0.20833333333333329</v>
      </c>
    </row>
    <row r="188" spans="1:7" x14ac:dyDescent="0.15">
      <c r="A188" t="str">
        <f>HYPERLINK("./new_k5/query_cmdrels_weight_analyze/0.4_0.1_0.5/au_72549.xlsx","au_72549")</f>
        <v>au_72549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15">
      <c r="A189" t="str">
        <f>HYPERLINK("./new_k5/query_cmdrels_weight_analyze/0.4_0.1_0.5/au_740805.xlsx","au_740805")</f>
        <v>au_740805</v>
      </c>
      <c r="B189">
        <v>0.25</v>
      </c>
      <c r="C189">
        <v>0.25</v>
      </c>
      <c r="D189">
        <v>0.41666666666666657</v>
      </c>
      <c r="E189">
        <v>0.25</v>
      </c>
      <c r="F189">
        <v>0.41666666666666657</v>
      </c>
      <c r="G189">
        <v>0.35</v>
      </c>
    </row>
    <row r="190" spans="1:7" x14ac:dyDescent="0.15">
      <c r="A190" t="str">
        <f>HYPERLINK("./new_k5/query_cmdrels_weight_analyze/0.4_0.1_0.5/au_760796.xlsx","au_760796")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0.4</v>
      </c>
    </row>
    <row r="191" spans="1:7" x14ac:dyDescent="0.15">
      <c r="A191" t="str">
        <f>HYPERLINK("./new_k5/query_cmdrels_weight_analyze/0.4_0.1_0.5/au_762846.xlsx","au_762846")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0.43333333333333329</v>
      </c>
    </row>
    <row r="192" spans="1:7" x14ac:dyDescent="0.15">
      <c r="A192" t="str">
        <f>HYPERLINK("./new_k5/query_cmdrels_weight_analyze/0.4_0.1_0.5/au_767786.xlsx","au_767786")</f>
        <v>au_767786</v>
      </c>
      <c r="B192">
        <v>0.2</v>
      </c>
      <c r="C192">
        <v>0.2</v>
      </c>
      <c r="D192">
        <v>0.4</v>
      </c>
      <c r="E192">
        <v>0.4</v>
      </c>
      <c r="F192">
        <v>0.4</v>
      </c>
      <c r="G192">
        <v>0.4</v>
      </c>
    </row>
    <row r="193" spans="1:7" x14ac:dyDescent="0.15">
      <c r="A193" t="str">
        <f>HYPERLINK("./new_k5/query_cmdrels_weight_analyze/0.4_0.1_0.5/au_778906.xlsx","au_778906")</f>
        <v>au_778906</v>
      </c>
      <c r="B193">
        <v>0.2</v>
      </c>
      <c r="C193">
        <v>0.2</v>
      </c>
      <c r="D193">
        <v>0.33333333333333331</v>
      </c>
      <c r="E193">
        <v>0.33333333333333331</v>
      </c>
      <c r="F193">
        <v>0.33333333333333331</v>
      </c>
      <c r="G193">
        <v>0.48333333333333328</v>
      </c>
    </row>
    <row r="194" spans="1:7" x14ac:dyDescent="0.15">
      <c r="A194" t="str">
        <f>HYPERLINK("./new_k5/query_cmdrels_weight_analyze/0.4_0.1_0.5/au_818929.xlsx","au_818929")</f>
        <v>au_818929</v>
      </c>
      <c r="B194">
        <v>0</v>
      </c>
      <c r="C194">
        <v>0.2</v>
      </c>
      <c r="D194">
        <v>0</v>
      </c>
      <c r="E194">
        <v>0.33333333333333331</v>
      </c>
      <c r="F194">
        <v>0</v>
      </c>
      <c r="G194">
        <v>0.33333333333333331</v>
      </c>
    </row>
    <row r="195" spans="1:7" x14ac:dyDescent="0.15">
      <c r="A195" t="str">
        <f>HYPERLINK("./new_k5/query_cmdrels_weight_analyze/0.4_0.1_0.5/au_844876.xlsx","au_844876")</f>
        <v>au_844876</v>
      </c>
      <c r="B195">
        <v>0.5</v>
      </c>
      <c r="C195">
        <v>0.5</v>
      </c>
      <c r="D195">
        <v>0.5</v>
      </c>
      <c r="E195">
        <v>1</v>
      </c>
      <c r="F195">
        <v>0.5</v>
      </c>
      <c r="G195">
        <v>1</v>
      </c>
    </row>
    <row r="196" spans="1:7" x14ac:dyDescent="0.15">
      <c r="A196" t="str">
        <f>HYPERLINK("./new_k5/query_cmdrels_weight_analyze/0.4_0.1_0.5/au_85318.xlsx","au_85318")</f>
        <v>au_85318</v>
      </c>
      <c r="B196">
        <v>0.2</v>
      </c>
      <c r="C196">
        <v>0.2</v>
      </c>
      <c r="D196">
        <v>0.6</v>
      </c>
      <c r="E196">
        <v>0.6</v>
      </c>
      <c r="F196">
        <v>0.6</v>
      </c>
      <c r="G196">
        <v>0.6</v>
      </c>
    </row>
    <row r="197" spans="1:7" x14ac:dyDescent="0.15">
      <c r="A197" t="str">
        <f>HYPERLINK("./new_k5/query_cmdrels_weight_analyze/0.4_0.1_0.5/au_854332.xlsx","au_854332")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HYPERLINK("./new_k5/query_cmdrels_weight_analyze/0.4_0.1_0.5/au_854373.xlsx","au_854373")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</v>
      </c>
    </row>
    <row r="199" spans="1:7" x14ac:dyDescent="0.15">
      <c r="A199" t="str">
        <f>HYPERLINK("./new_k5/query_cmdrels_weight_analyze/0.4_0.1_0.5/au_86843.xlsx","au_86843")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HYPERLINK("./new_k5/query_cmdrels_weight_analyze/0.4_0.1_0.5/au_88108.xlsx","au_88108")</f>
        <v>au_88108</v>
      </c>
      <c r="B200">
        <v>0</v>
      </c>
      <c r="C200">
        <v>0</v>
      </c>
      <c r="D200">
        <v>0.1</v>
      </c>
      <c r="E200">
        <v>6.6666666666666666E-2</v>
      </c>
      <c r="F200">
        <v>0.1</v>
      </c>
      <c r="G200">
        <v>6.6666666666666666E-2</v>
      </c>
    </row>
    <row r="201" spans="1:7" x14ac:dyDescent="0.15">
      <c r="A201" t="str">
        <f>HYPERLINK("./new_k5/query_cmdrels_weight_analyze/0.4_0.1_0.5/au_90214.xlsx","au_90214")</f>
        <v>au_90214</v>
      </c>
      <c r="B201">
        <v>0</v>
      </c>
      <c r="C201">
        <v>0</v>
      </c>
      <c r="D201">
        <v>0.16666666666666671</v>
      </c>
      <c r="E201">
        <v>0.16666666666666671</v>
      </c>
      <c r="F201">
        <v>0.16666666666666671</v>
      </c>
      <c r="G201">
        <v>0.16666666666666671</v>
      </c>
    </row>
    <row r="202" spans="1:7" x14ac:dyDescent="0.15">
      <c r="A202" t="str">
        <f>HYPERLINK("./new_k5/query_cmdrels_weight_analyze/0.4_0.1_0.5/au_90339.xlsx","au_90339")</f>
        <v>au_90339</v>
      </c>
      <c r="B202">
        <v>0</v>
      </c>
      <c r="C202">
        <v>0</v>
      </c>
      <c r="D202">
        <v>4.7619047619047623E-2</v>
      </c>
      <c r="E202">
        <v>0.16666666666666671</v>
      </c>
      <c r="F202">
        <v>0.2047619047619047</v>
      </c>
      <c r="G202">
        <v>0.16666666666666671</v>
      </c>
    </row>
    <row r="203" spans="1:7" x14ac:dyDescent="0.15">
      <c r="A203" t="str">
        <f>HYPERLINK("./new_k5/query_cmdrels_weight_analyze/0.4_0.1_0.5/au_91286.xlsx","au_91286")</f>
        <v>au_91286</v>
      </c>
      <c r="B203">
        <v>0.5</v>
      </c>
      <c r="C203">
        <v>0</v>
      </c>
      <c r="D203">
        <v>0.5</v>
      </c>
      <c r="E203">
        <v>0</v>
      </c>
      <c r="F203">
        <v>0.5</v>
      </c>
      <c r="G203">
        <v>0</v>
      </c>
    </row>
    <row r="204" spans="1:7" x14ac:dyDescent="0.15">
      <c r="A204" t="str">
        <f>HYPERLINK("./new_k5/query_cmdrels_weight_analyze/0.4_0.1_0.5/au_9135.xlsx","au_9135")</f>
        <v>au_9135</v>
      </c>
      <c r="B204">
        <v>0.1</v>
      </c>
      <c r="C204">
        <v>0</v>
      </c>
      <c r="D204">
        <v>0.16666666666666671</v>
      </c>
      <c r="E204">
        <v>0.1166666666666667</v>
      </c>
      <c r="F204">
        <v>0.24166666666666661</v>
      </c>
      <c r="G204">
        <v>0.19166666666666671</v>
      </c>
    </row>
    <row r="205" spans="1:7" x14ac:dyDescent="0.15">
      <c r="A205" t="str">
        <f>HYPERLINK("./new_k5/query_cmdrels_weight_analyze/0.4_0.1_0.5/au_935569.xlsx","au_935569")</f>
        <v>au_935569</v>
      </c>
      <c r="B205">
        <v>0.14285714285714279</v>
      </c>
      <c r="C205">
        <v>0.14285714285714279</v>
      </c>
      <c r="D205">
        <v>0.42857142857142849</v>
      </c>
      <c r="E205">
        <v>0.2857142857142857</v>
      </c>
      <c r="F205">
        <v>0.54285714285714282</v>
      </c>
      <c r="G205">
        <v>0.2857142857142857</v>
      </c>
    </row>
    <row r="206" spans="1:7" x14ac:dyDescent="0.15">
      <c r="A206" t="str">
        <f>HYPERLINK("./new_k5/query_cmdrels_weight_analyze/0.4_0.1_0.5/au_97936.xlsx","au_97936")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HYPERLINK("./new_k5/query_cmdrels_weight_analyze/0.4_0.1_0.5/so_10235778.xlsx","so_10235778")</f>
        <v>so_10235778</v>
      </c>
      <c r="B207">
        <v>0.25</v>
      </c>
      <c r="C207">
        <v>0.25</v>
      </c>
      <c r="D207">
        <v>0.5</v>
      </c>
      <c r="E207">
        <v>0.25</v>
      </c>
      <c r="F207">
        <v>0.5</v>
      </c>
      <c r="G207">
        <v>0.375</v>
      </c>
    </row>
    <row r="208" spans="1:7" x14ac:dyDescent="0.15">
      <c r="A208" t="str">
        <f>HYPERLINK("./new_k5/query_cmdrels_weight_analyze/0.4_0.1_0.5/so_1045910.xlsx","so_1045910")</f>
        <v>so_1045910</v>
      </c>
      <c r="B208">
        <v>0.25</v>
      </c>
      <c r="C208">
        <v>0.25</v>
      </c>
      <c r="D208">
        <v>0.25</v>
      </c>
      <c r="E208">
        <v>0.5</v>
      </c>
      <c r="F208">
        <v>0.25</v>
      </c>
      <c r="G208">
        <v>0.5</v>
      </c>
    </row>
    <row r="209" spans="1:7" x14ac:dyDescent="0.15">
      <c r="A209" t="str">
        <f>HYPERLINK("./new_k5/query_cmdrels_weight_analyze/0.4_0.1_0.5/so_10557360.xlsx","so_10557360")</f>
        <v>so_10557360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0.05</v>
      </c>
    </row>
    <row r="210" spans="1:7" x14ac:dyDescent="0.15">
      <c r="A210" t="str">
        <f>HYPERLINK("./new_k5/query_cmdrels_weight_analyze/0.4_0.1_0.5/so_1058047.xlsx","so_1058047")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0.35</v>
      </c>
    </row>
    <row r="211" spans="1:7" x14ac:dyDescent="0.15">
      <c r="A211" t="str">
        <f>HYPERLINK("./new_k5/query_cmdrels_weight_analyze/0.4_0.1_0.5/so_10829402.xlsx","so_10829402")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HYPERLINK("./new_k5/query_cmdrels_weight_analyze/0.4_0.1_0.5/so_1088098.xlsx","so_1088098")</f>
        <v>so_1088098</v>
      </c>
      <c r="B212">
        <v>0</v>
      </c>
      <c r="C212">
        <v>0.25</v>
      </c>
      <c r="D212">
        <v>0.125</v>
      </c>
      <c r="E212">
        <v>0.41666666666666657</v>
      </c>
      <c r="F212">
        <v>0.125</v>
      </c>
      <c r="G212">
        <v>0.41666666666666657</v>
      </c>
    </row>
    <row r="213" spans="1:7" x14ac:dyDescent="0.15">
      <c r="A213" t="str">
        <f>HYPERLINK("./new_k5/query_cmdrels_weight_analyze/0.4_0.1_0.5/so_10990949.xlsx","so_10990949")</f>
        <v>so_10990949</v>
      </c>
      <c r="B213">
        <v>0.5</v>
      </c>
      <c r="C213">
        <v>0.5</v>
      </c>
      <c r="D213">
        <v>0.5</v>
      </c>
      <c r="E213">
        <v>1</v>
      </c>
      <c r="F213">
        <v>0.5</v>
      </c>
      <c r="G213">
        <v>1</v>
      </c>
    </row>
    <row r="214" spans="1:7" x14ac:dyDescent="0.15">
      <c r="A214" t="str">
        <f>HYPERLINK("./new_k5/query_cmdrels_weight_analyze/0.4_0.1_0.5/so_11211705.xlsx","so_11211705")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HYPERLINK("./new_k5/query_cmdrels_weight_analyze/0.4_0.1_0.5/so_112932.xlsx","so_112932")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HYPERLINK("./new_k5/query_cmdrels_weight_analyze/0.4_0.1_0.5/so_11392189.xlsx","so_11392189")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8.3333333333333329E-2</v>
      </c>
    </row>
    <row r="217" spans="1:7" x14ac:dyDescent="0.15">
      <c r="A217" t="str">
        <f>HYPERLINK("./new_k5/query_cmdrels_weight_analyze/0.4_0.1_0.5/so_1183183.xlsx","so_1183183")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HYPERLINK("./new_k5/query_cmdrels_weight_analyze/0.4_0.1_0.5/so_1194882.xlsx","so_1194882")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HYPERLINK("./new_k5/query_cmdrels_weight_analyze/0.4_0.1_0.5/so_12120935.xlsx","so_12120935")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HYPERLINK("./new_k5/query_cmdrels_weight_analyze/0.4_0.1_0.5/so_12313384.xlsx","so_12313384")</f>
        <v>so_12313384</v>
      </c>
      <c r="B220">
        <v>0</v>
      </c>
      <c r="C220">
        <v>0</v>
      </c>
      <c r="D220">
        <v>0.16666666666666671</v>
      </c>
      <c r="E220">
        <v>0.16666666666666671</v>
      </c>
      <c r="F220">
        <v>0.16666666666666671</v>
      </c>
      <c r="G220">
        <v>0.33333333333333331</v>
      </c>
    </row>
    <row r="221" spans="1:7" x14ac:dyDescent="0.15">
      <c r="A221" t="str">
        <f>HYPERLINK("./new_k5/query_cmdrels_weight_analyze/0.4_0.1_0.5/so_12392598.xlsx","so_12392598")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HYPERLINK("./new_k5/query_cmdrels_weight_analyze/0.4_0.1_0.5/so_1241801.xlsx","so_1241801")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HYPERLINK("./new_k5/query_cmdrels_weight_analyze/0.4_0.1_0.5/so_12522269.xlsx","so_12522269")</f>
        <v>so_12522269</v>
      </c>
      <c r="B223">
        <v>0.2</v>
      </c>
      <c r="C223">
        <v>0</v>
      </c>
      <c r="D223">
        <v>0.2</v>
      </c>
      <c r="E223">
        <v>0.23333333333333331</v>
      </c>
      <c r="F223">
        <v>0.28000000000000003</v>
      </c>
      <c r="G223">
        <v>0.23333333333333331</v>
      </c>
    </row>
    <row r="224" spans="1:7" x14ac:dyDescent="0.15">
      <c r="A224" t="str">
        <f>HYPERLINK("./new_k5/query_cmdrels_weight_analyze/0.4_0.1_0.5/so_1293907.xlsx","so_1293907")</f>
        <v>so_1293907</v>
      </c>
      <c r="B224">
        <v>0</v>
      </c>
      <c r="C224">
        <v>0</v>
      </c>
      <c r="D224">
        <v>0</v>
      </c>
      <c r="E224">
        <v>0.16666666666666671</v>
      </c>
      <c r="F224">
        <v>8.3333333333333329E-2</v>
      </c>
      <c r="G224">
        <v>0.33333333333333331</v>
      </c>
    </row>
    <row r="225" spans="1:7" x14ac:dyDescent="0.15">
      <c r="A225" t="str">
        <f>HYPERLINK("./new_k5/query_cmdrels_weight_analyze/0.4_0.1_0.5/so_13428910.xlsx","so_13428910")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HYPERLINK("./new_k5/query_cmdrels_weight_analyze/0.4_0.1_0.5/so_135688.xlsx","so_135688")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HYPERLINK("./new_k5/query_cmdrels_weight_analyze/0.4_0.1_0.5/so_13778273.xlsx","so_13778273")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HYPERLINK("./new_k5/query_cmdrels_weight_analyze/0.4_0.1_0.5/so_1405611.xlsx","so_1405611")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</v>
      </c>
      <c r="F228">
        <v>0.33333333333333331</v>
      </c>
      <c r="G228">
        <v>8.3333333333333329E-2</v>
      </c>
    </row>
    <row r="229" spans="1:7" x14ac:dyDescent="0.15">
      <c r="A229" t="str">
        <f>HYPERLINK("./new_k5/query_cmdrels_weight_analyze/0.4_0.1_0.5/so_14300794.xlsx","so_14300794")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0.66666666666666663</v>
      </c>
    </row>
    <row r="230" spans="1:7" x14ac:dyDescent="0.15">
      <c r="A230" t="str">
        <f>HYPERLINK("./new_k5/query_cmdrels_weight_analyze/0.4_0.1_0.5/so_143791.xlsx","so_143791")</f>
        <v>so_143791</v>
      </c>
      <c r="B230">
        <v>0.125</v>
      </c>
      <c r="C230">
        <v>0.125</v>
      </c>
      <c r="D230">
        <v>0.375</v>
      </c>
      <c r="E230">
        <v>0.375</v>
      </c>
      <c r="F230">
        <v>0.375</v>
      </c>
      <c r="G230">
        <v>0.5</v>
      </c>
    </row>
    <row r="231" spans="1:7" x14ac:dyDescent="0.15">
      <c r="A231" t="str">
        <f>HYPERLINK("./new_k5/query_cmdrels_weight_analyze/0.4_0.1_0.5/so_14750650.xlsx","so_14750650")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0.05</v>
      </c>
    </row>
    <row r="232" spans="1:7" x14ac:dyDescent="0.15">
      <c r="A232" t="str">
        <f>HYPERLINK("./new_k5/query_cmdrels_weight_analyze/0.4_0.1_0.5/so_14978411.xlsx","so_14978411")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HYPERLINK("./new_k5/query_cmdrels_weight_analyze/0.4_0.1_0.5/so_15236308.xlsx","so_15236308")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HYPERLINK("./new_k5/query_cmdrels_weight_analyze/0.4_0.1_0.5/so_15286947.xlsx","so_15286947")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HYPERLINK("./new_k5/query_cmdrels_weight_analyze/0.4_0.1_0.5/so_15402770.xlsx","so_15402770")</f>
        <v>so_15402770</v>
      </c>
      <c r="B235">
        <v>0</v>
      </c>
      <c r="C235">
        <v>0</v>
      </c>
      <c r="D235">
        <v>0.19444444444444439</v>
      </c>
      <c r="E235">
        <v>0.19444444444444439</v>
      </c>
      <c r="F235">
        <v>0.19444444444444439</v>
      </c>
      <c r="G235">
        <v>0.31944444444444442</v>
      </c>
    </row>
    <row r="236" spans="1:7" x14ac:dyDescent="0.15">
      <c r="A236" t="str">
        <f>HYPERLINK("./new_k5/query_cmdrels_weight_analyze/0.4_0.1_0.5/so_1570262.xlsx","so_1570262")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0.13</v>
      </c>
    </row>
    <row r="237" spans="1:7" x14ac:dyDescent="0.15">
      <c r="A237" t="str">
        <f>HYPERLINK("./new_k5/query_cmdrels_weight_analyze/0.4_0.1_0.5/so_1583219.xlsx","so_1583219")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HYPERLINK("./new_k5/query_cmdrels_weight_analyze/0.4_0.1_0.5/so_15872543.xlsx","so_15872543")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HYPERLINK("./new_k5/query_cmdrels_weight_analyze/0.4_0.1_0.5/so_16038087.xlsx","so_16038087")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0.54285714285714282</v>
      </c>
    </row>
    <row r="240" spans="1:7" x14ac:dyDescent="0.15">
      <c r="A240" t="str">
        <f>HYPERLINK("./new_k5/query_cmdrels_weight_analyze/0.4_0.1_0.5/so_16212656.xlsx","so_16212656")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0.3</v>
      </c>
    </row>
    <row r="241" spans="1:7" x14ac:dyDescent="0.15">
      <c r="A241" t="str">
        <f>HYPERLINK("./new_k5/query_cmdrels_weight_analyze/0.4_0.1_0.5/so_16575419.xlsx","so_16575419")</f>
        <v>so_16575419</v>
      </c>
      <c r="B241">
        <v>0.25</v>
      </c>
      <c r="C241">
        <v>0.25</v>
      </c>
      <c r="D241">
        <v>0.25</v>
      </c>
      <c r="E241">
        <v>0.5</v>
      </c>
      <c r="F241">
        <v>0.25</v>
      </c>
      <c r="G241">
        <v>0.5</v>
      </c>
    </row>
    <row r="242" spans="1:7" x14ac:dyDescent="0.15">
      <c r="A242" t="str">
        <f>HYPERLINK("./new_k5/query_cmdrels_weight_analyze/0.4_0.1_0.5/so_17582768.xlsx","so_17582768")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0</v>
      </c>
    </row>
    <row r="243" spans="1:7" x14ac:dyDescent="0.15">
      <c r="A243" t="str">
        <f>HYPERLINK("./new_k5/query_cmdrels_weight_analyze/0.4_0.1_0.5/so_17607612.xlsx","so_17607612")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15">
      <c r="A244" t="str">
        <f>HYPERLINK("./new_k5/query_cmdrels_weight_analyze/0.4_0.1_0.5/so_17829785.xlsx","so_17829785")</f>
        <v>so_17829785</v>
      </c>
      <c r="B244">
        <v>0.25</v>
      </c>
      <c r="C244">
        <v>0</v>
      </c>
      <c r="D244">
        <v>0.25</v>
      </c>
      <c r="E244">
        <v>0.29166666666666657</v>
      </c>
      <c r="F244">
        <v>0.25</v>
      </c>
      <c r="G244">
        <v>0.29166666666666657</v>
      </c>
    </row>
    <row r="245" spans="1:7" x14ac:dyDescent="0.15">
      <c r="A245" t="str">
        <f>HYPERLINK("./new_k5/query_cmdrels_weight_analyze/0.4_0.1_0.5/so_1839841.xlsx","so_1839841")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HYPERLINK("./new_k5/query_cmdrels_weight_analyze/0.4_0.1_0.5/so_18468716.xlsx","so_18468716")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0.33333333333333331</v>
      </c>
    </row>
    <row r="247" spans="1:7" x14ac:dyDescent="0.15">
      <c r="A247" t="str">
        <f>HYPERLINK("./new_k5/query_cmdrels_weight_analyze/0.4_0.1_0.5/so_19196105.xlsx","so_19196105")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HYPERLINK("./new_k5/query_cmdrels_weight_analyze/0.4_0.1_0.5/so_19482123.xlsx","so_19482123")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HYPERLINK("./new_k5/query_cmdrels_weight_analyze/0.4_0.1_0.5/so_1975849.xlsx","so_1975849")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HYPERLINK("./new_k5/query_cmdrels_weight_analyze/0.4_0.1_0.5/so_212528.xlsx","so_212528")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0.43333333333333329</v>
      </c>
    </row>
    <row r="251" spans="1:7" x14ac:dyDescent="0.15">
      <c r="A251" t="str">
        <f>HYPERLINK("./new_k5/query_cmdrels_weight_analyze/0.4_0.1_0.5/so_21620406.xlsx","so_21620406")</f>
        <v>so_21620406</v>
      </c>
      <c r="B251">
        <v>0</v>
      </c>
      <c r="C251">
        <v>0</v>
      </c>
      <c r="D251">
        <v>0.1111111111111111</v>
      </c>
      <c r="E251">
        <v>0</v>
      </c>
      <c r="F251">
        <v>0.1111111111111111</v>
      </c>
      <c r="G251">
        <v>8.3333333333333329E-2</v>
      </c>
    </row>
    <row r="252" spans="1:7" x14ac:dyDescent="0.15">
      <c r="A252" t="str">
        <f>HYPERLINK("./new_k5/query_cmdrels_weight_analyze/0.4_0.1_0.5/so_23509348.xlsx","so_23509348")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HYPERLINK("./new_k5/query_cmdrels_weight_analyze/0.4_0.1_0.5/so_24058544.xlsx","so_24058544")</f>
        <v>so_24058544</v>
      </c>
      <c r="B253">
        <v>0.2</v>
      </c>
      <c r="C253">
        <v>0</v>
      </c>
      <c r="D253">
        <v>0.2</v>
      </c>
      <c r="E253">
        <v>0.1</v>
      </c>
      <c r="F253">
        <v>0.2</v>
      </c>
      <c r="G253">
        <v>0.1</v>
      </c>
    </row>
    <row r="254" spans="1:7" x14ac:dyDescent="0.15">
      <c r="A254" t="str">
        <f>HYPERLINK("./new_k5/query_cmdrels_weight_analyze/0.4_0.1_0.5/so_24283097.xlsx","so_24283097")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HYPERLINK("./new_k5/query_cmdrels_weight_analyze/0.4_0.1_0.5/so_26256279.xlsx","so_26256279")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0.66666666666666663</v>
      </c>
      <c r="F255">
        <v>0.33333333333333331</v>
      </c>
      <c r="G255">
        <v>0.66666666666666663</v>
      </c>
    </row>
    <row r="256" spans="1:7" x14ac:dyDescent="0.15">
      <c r="A256" t="str">
        <f>HYPERLINK("./new_k5/query_cmdrels_weight_analyze/0.4_0.1_0.5/so_26331651.xlsx","so_26331651")</f>
        <v>so_26331651</v>
      </c>
      <c r="B256">
        <v>0</v>
      </c>
      <c r="C256">
        <v>0</v>
      </c>
      <c r="D256">
        <v>0</v>
      </c>
      <c r="E256">
        <v>7.1428571428571425E-2</v>
      </c>
      <c r="F256">
        <v>0</v>
      </c>
      <c r="G256">
        <v>0.14285714285714279</v>
      </c>
    </row>
    <row r="257" spans="1:7" x14ac:dyDescent="0.15">
      <c r="A257" t="str">
        <f>HYPERLINK("./new_k5/query_cmdrels_weight_analyze/0.4_0.1_0.5/so_26988262.xlsx","so_26988262")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HYPERLINK("./new_k5/query_cmdrels_weight_analyze/0.4_0.1_0.5/so_27238411.xlsx","so_27238411")</f>
        <v>so_27238411</v>
      </c>
      <c r="B258">
        <v>0.2</v>
      </c>
      <c r="C258">
        <v>0.2</v>
      </c>
      <c r="D258">
        <v>0.6</v>
      </c>
      <c r="E258">
        <v>0.6</v>
      </c>
      <c r="F258">
        <v>0.6</v>
      </c>
      <c r="G258">
        <v>0.6</v>
      </c>
    </row>
    <row r="259" spans="1:7" x14ac:dyDescent="0.15">
      <c r="A259" t="str">
        <f>HYPERLINK("./new_k5/query_cmdrels_weight_analyze/0.4_0.1_0.5/so_27943059.xlsx","so_27943059")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0.33333333333333331</v>
      </c>
      <c r="F259">
        <v>0.16666666666666671</v>
      </c>
      <c r="G259">
        <v>0.5</v>
      </c>
    </row>
    <row r="260" spans="1:7" x14ac:dyDescent="0.15">
      <c r="A260" t="str">
        <f>HYPERLINK("./new_k5/query_cmdrels_weight_analyze/0.4_0.1_0.5/so_28869004.xlsx","so_28869004")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HYPERLINK("./new_k5/query_cmdrels_weight_analyze/0.4_0.1_0.5/so_2973624.xlsx","so_2973624")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0.55555555555555547</v>
      </c>
      <c r="F261">
        <v>0.66666666666666663</v>
      </c>
      <c r="G261">
        <v>0.80555555555555547</v>
      </c>
    </row>
    <row r="262" spans="1:7" x14ac:dyDescent="0.15">
      <c r="A262" t="str">
        <f>HYPERLINK("./new_k5/query_cmdrels_weight_analyze/0.4_0.1_0.5/so_30177455.xlsx","so_30177455")</f>
        <v>so_30177455</v>
      </c>
      <c r="B262">
        <v>0</v>
      </c>
      <c r="C262">
        <v>0</v>
      </c>
      <c r="D262">
        <v>0.16666666666666671</v>
      </c>
      <c r="E262">
        <v>0.1111111111111111</v>
      </c>
      <c r="F262">
        <v>0.16666666666666671</v>
      </c>
      <c r="G262">
        <v>0.1111111111111111</v>
      </c>
    </row>
    <row r="263" spans="1:7" x14ac:dyDescent="0.15">
      <c r="A263" t="str">
        <f>HYPERLINK("./new_k5/query_cmdrels_weight_analyze/0.4_0.1_0.5/so_30251889.xlsx","so_30251889")</f>
        <v>so_30251889</v>
      </c>
      <c r="B263">
        <v>0</v>
      </c>
      <c r="C263">
        <v>0.25</v>
      </c>
      <c r="D263">
        <v>0.125</v>
      </c>
      <c r="E263">
        <v>0.5</v>
      </c>
      <c r="F263">
        <v>0.22500000000000001</v>
      </c>
      <c r="G263">
        <v>0.6875</v>
      </c>
    </row>
    <row r="264" spans="1:7" x14ac:dyDescent="0.15">
      <c r="A264" t="str">
        <f>HYPERLINK("./new_k5/query_cmdrels_weight_analyze/0.4_0.1_0.5/so_305035.xlsx","so_305035")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HYPERLINK("./new_k5/query_cmdrels_weight_analyze/0.4_0.1_0.5/so_36249744.xlsx","so_36249744")</f>
        <v>so_36249744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</row>
    <row r="266" spans="1:7" x14ac:dyDescent="0.15">
      <c r="A266" t="str">
        <f>HYPERLINK("./new_k5/query_cmdrels_weight_analyze/0.4_0.1_0.5/so_3643848.xlsx","so_3643848")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HYPERLINK("./new_k5/query_cmdrels_weight_analyze/0.4_0.1_0.5/so_3667329.xlsx","so_3667329")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0.33333333333333331</v>
      </c>
    </row>
    <row r="268" spans="1:7" x14ac:dyDescent="0.15">
      <c r="A268" t="str">
        <f>HYPERLINK("./new_k5/query_cmdrels_weight_analyze/0.4_0.1_0.5/so_369758.xlsx","so_369758")</f>
        <v>so_369758</v>
      </c>
      <c r="B268">
        <v>0.2</v>
      </c>
      <c r="C268">
        <v>0.2</v>
      </c>
      <c r="D268">
        <v>0.4</v>
      </c>
      <c r="E268">
        <v>0.33333333333333331</v>
      </c>
      <c r="F268">
        <v>0.4</v>
      </c>
      <c r="G268">
        <v>0.48333333333333328</v>
      </c>
    </row>
    <row r="269" spans="1:7" x14ac:dyDescent="0.15">
      <c r="A269" t="str">
        <f>HYPERLINK("./new_k5/query_cmdrels_weight_analyze/0.4_0.1_0.5/so_3756323.xlsx","so_3756323")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0.75</v>
      </c>
    </row>
    <row r="270" spans="1:7" x14ac:dyDescent="0.15">
      <c r="A270" t="str">
        <f>HYPERLINK("./new_k5/query_cmdrels_weight_analyze/0.4_0.1_0.5/so_3767267.xlsx","so_3767267")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HYPERLINK("./new_k5/query_cmdrels_weight_analyze/0.4_0.1_0.5/so_3833578.xlsx","so_3833578")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HYPERLINK("./new_k5/query_cmdrels_weight_analyze/0.4_0.1_0.5/so_3891076.xlsx","so_3891076")</f>
        <v>so_3891076</v>
      </c>
      <c r="B272">
        <v>0.25</v>
      </c>
      <c r="C272">
        <v>0</v>
      </c>
      <c r="D272">
        <v>0.25</v>
      </c>
      <c r="E272">
        <v>0.125</v>
      </c>
      <c r="F272">
        <v>0.25</v>
      </c>
      <c r="G272">
        <v>0.22500000000000001</v>
      </c>
    </row>
    <row r="273" spans="1:7" x14ac:dyDescent="0.15">
      <c r="A273" t="str">
        <f>HYPERLINK("./new_k5/query_cmdrels_weight_analyze/0.4_0.1_0.5/so_3963085.xlsx","so_3963085")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HYPERLINK("./new_k5/query_cmdrels_weight_analyze/0.4_0.1_0.5/so_4325216.xlsx","so_4325216")</f>
        <v>so_4325216</v>
      </c>
      <c r="B274">
        <v>0.5</v>
      </c>
      <c r="C274">
        <v>0.5</v>
      </c>
      <c r="D274">
        <v>0.5</v>
      </c>
      <c r="E274">
        <v>0.83333333333333326</v>
      </c>
      <c r="F274">
        <v>0.5</v>
      </c>
      <c r="G274">
        <v>0.83333333333333326</v>
      </c>
    </row>
    <row r="275" spans="1:7" x14ac:dyDescent="0.15">
      <c r="A275" t="str">
        <f>HYPERLINK("./new_k5/query_cmdrels_weight_analyze/0.4_0.1_0.5/so_448005.xlsx","so_448005")</f>
        <v>so_448005</v>
      </c>
      <c r="B275">
        <v>1</v>
      </c>
      <c r="C275">
        <v>0</v>
      </c>
      <c r="D275">
        <v>1</v>
      </c>
      <c r="E275">
        <v>0.5</v>
      </c>
      <c r="F275">
        <v>1</v>
      </c>
      <c r="G275">
        <v>0.5</v>
      </c>
    </row>
    <row r="276" spans="1:7" x14ac:dyDescent="0.15">
      <c r="A276" t="str">
        <f>HYPERLINK("./new_k5/query_cmdrels_weight_analyze/0.4_0.1_0.5/so_4921879.xlsx","so_4921879")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HYPERLINK("./new_k5/query_cmdrels_weight_analyze/0.4_0.1_0.5/so_4922943.xlsx","so_4922943")</f>
        <v>so_4922943</v>
      </c>
      <c r="B277">
        <v>0.2</v>
      </c>
      <c r="C277">
        <v>0</v>
      </c>
      <c r="D277">
        <v>0.33333333333333331</v>
      </c>
      <c r="E277">
        <v>0.1</v>
      </c>
      <c r="F277">
        <v>0.33333333333333331</v>
      </c>
      <c r="G277">
        <v>0.32</v>
      </c>
    </row>
    <row r="278" spans="1:7" x14ac:dyDescent="0.15">
      <c r="A278" t="str">
        <f>HYPERLINK("./new_k5/query_cmdrels_weight_analyze/0.4_0.1_0.5/so_5119946.xlsx","so_5119946")</f>
        <v>so_5119946</v>
      </c>
      <c r="B278">
        <v>0.5</v>
      </c>
      <c r="C278">
        <v>0</v>
      </c>
      <c r="D278">
        <v>0.5</v>
      </c>
      <c r="E278">
        <v>0.16666666666666671</v>
      </c>
      <c r="F278">
        <v>0.5</v>
      </c>
      <c r="G278">
        <v>0.16666666666666671</v>
      </c>
    </row>
    <row r="279" spans="1:7" x14ac:dyDescent="0.15">
      <c r="A279" t="str">
        <f>HYPERLINK("./new_k5/query_cmdrels_weight_analyze/0.4_0.1_0.5/so_5164985.xlsx","so_5164985")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0.3</v>
      </c>
    </row>
    <row r="280" spans="1:7" x14ac:dyDescent="0.15">
      <c r="A280" t="str">
        <f>HYPERLINK("./new_k5/query_cmdrels_weight_analyze/0.4_0.1_0.5/so_5306153.xlsx","so_5306153")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HYPERLINK("./new_k5/query_cmdrels_weight_analyze/0.4_0.1_0.5/so_5566310.xlsx","so_5566310")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HYPERLINK("./new_k5/query_cmdrels_weight_analyze/0.4_0.1_0.5/so_5927369.xlsx","so_5927369")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HYPERLINK("./new_k5/query_cmdrels_weight_analyze/0.4_0.1_0.5/so_5947742.xlsx","so_5947742")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0.55555555555555547</v>
      </c>
      <c r="F283">
        <v>0.55555555555555547</v>
      </c>
      <c r="G283">
        <v>0.55555555555555547</v>
      </c>
    </row>
    <row r="284" spans="1:7" x14ac:dyDescent="0.15">
      <c r="A284" t="str">
        <f>HYPERLINK("./new_k5/query_cmdrels_weight_analyze/0.4_0.1_0.5/so_614795.xlsx","so_614795")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HYPERLINK("./new_k5/query_cmdrels_weight_analyze/0.4_0.1_0.5/so_6207573.xlsx","so_6207573")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0.42857142857142849</v>
      </c>
      <c r="F285">
        <v>0.37142857142857139</v>
      </c>
      <c r="G285">
        <v>0.54285714285714282</v>
      </c>
    </row>
    <row r="286" spans="1:7" x14ac:dyDescent="0.15">
      <c r="A286" t="str">
        <f>HYPERLINK("./new_k5/query_cmdrels_weight_analyze/0.4_0.1_0.5/so_6283167.xlsx","so_6283167")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HYPERLINK("./new_k5/query_cmdrels_weight_analyze/0.4_0.1_0.5/so_6329505.xlsx","so_6329505")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HYPERLINK("./new_k5/query_cmdrels_weight_analyze/0.4_0.1_0.5/so_6423532.xlsx","so_6423532")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HYPERLINK("./new_k5/query_cmdrels_weight_analyze/0.4_0.1_0.5/so_669438.xlsx","so_669438")</f>
        <v>so_669438</v>
      </c>
      <c r="B289">
        <v>0.2</v>
      </c>
      <c r="C289">
        <v>0.2</v>
      </c>
      <c r="D289">
        <v>0.6</v>
      </c>
      <c r="E289">
        <v>0.4</v>
      </c>
      <c r="F289">
        <v>0.6</v>
      </c>
      <c r="G289">
        <v>0.55000000000000004</v>
      </c>
    </row>
    <row r="290" spans="1:7" x14ac:dyDescent="0.15">
      <c r="A290" t="str">
        <f>HYPERLINK("./new_k5/query_cmdrels_weight_analyze/0.4_0.1_0.5/so_7052875.xlsx","so_7052875")</f>
        <v>so_7052875</v>
      </c>
      <c r="B290">
        <v>0.2</v>
      </c>
      <c r="C290">
        <v>0.2</v>
      </c>
      <c r="D290">
        <v>0.2</v>
      </c>
      <c r="E290">
        <v>0.33333333333333331</v>
      </c>
      <c r="F290">
        <v>0.2</v>
      </c>
      <c r="G290">
        <v>0.33333333333333331</v>
      </c>
    </row>
    <row r="291" spans="1:7" x14ac:dyDescent="0.15">
      <c r="A291" t="str">
        <f>HYPERLINK("./new_k5/query_cmdrels_weight_analyze/0.4_0.1_0.5/so_7221757.xlsx","so_7221757")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HYPERLINK("./new_k5/query_cmdrels_weight_analyze/0.4_0.1_0.5/so_750604.xlsx","so_750604")</f>
        <v>so_750604</v>
      </c>
      <c r="B292">
        <v>0</v>
      </c>
      <c r="C292">
        <v>0</v>
      </c>
      <c r="D292">
        <v>0.1111111111111111</v>
      </c>
      <c r="E292">
        <v>0.16666666666666671</v>
      </c>
      <c r="F292">
        <v>0.1111111111111111</v>
      </c>
      <c r="G292">
        <v>0.33333333333333331</v>
      </c>
    </row>
    <row r="293" spans="1:7" x14ac:dyDescent="0.15">
      <c r="A293" t="str">
        <f>HYPERLINK("./new_k5/query_cmdrels_weight_analyze/0.4_0.1_0.5/so_7575267.xlsx","so_7575267")</f>
        <v>so_7575267</v>
      </c>
      <c r="B293">
        <v>0</v>
      </c>
      <c r="C293">
        <v>0.25</v>
      </c>
      <c r="D293">
        <v>0</v>
      </c>
      <c r="E293">
        <v>0.41666666666666657</v>
      </c>
      <c r="F293">
        <v>0</v>
      </c>
      <c r="G293">
        <v>0.41666666666666657</v>
      </c>
    </row>
    <row r="294" spans="1:7" x14ac:dyDescent="0.15">
      <c r="A294" t="str">
        <f>HYPERLINK("./new_k5/query_cmdrels_weight_analyze/0.4_0.1_0.5/so_7698488.xlsx","so_7698488")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6.25E-2</v>
      </c>
    </row>
    <row r="295" spans="1:7" x14ac:dyDescent="0.15">
      <c r="A295" t="str">
        <f>HYPERLINK("./new_k5/query_cmdrels_weight_analyze/0.4_0.1_0.5/so_801095.xlsx","so_801095")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0.33333333333333331</v>
      </c>
      <c r="F295">
        <v>0.33333333333333331</v>
      </c>
      <c r="G295">
        <v>0.5</v>
      </c>
    </row>
    <row r="296" spans="1:7" x14ac:dyDescent="0.15">
      <c r="A296" t="str">
        <f>HYPERLINK("./new_k5/query_cmdrels_weight_analyze/0.4_0.1_0.5/so_8249705.xlsx","so_8249705")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HYPERLINK("./new_k5/query_cmdrels_weight_analyze/0.4_0.1_0.5/so_8423541.xlsx","so_8423541")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HYPERLINK("./new_k5/query_cmdrels_weight_analyze/0.4_0.1_0.5/so_8654051.xlsx","so_8654051")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HYPERLINK("./new_k5/query_cmdrels_weight_analyze/0.4_0.1_0.5/so_890262.xlsx","so_890262")</f>
        <v>so_890262</v>
      </c>
      <c r="B299">
        <v>0</v>
      </c>
      <c r="C299">
        <v>0</v>
      </c>
      <c r="D299">
        <v>0</v>
      </c>
      <c r="E299">
        <v>0.1111111111111111</v>
      </c>
      <c r="F299">
        <v>0</v>
      </c>
      <c r="G299">
        <v>0.27777777777777768</v>
      </c>
    </row>
    <row r="300" spans="1:7" x14ac:dyDescent="0.15">
      <c r="A300" t="str">
        <f>HYPERLINK("./new_k5/query_cmdrels_weight_analyze/0.4_0.1_0.5/so_893585.xlsx","so_893585")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HYPERLINK("./new_k5/query_cmdrels_weight_analyze/0.4_0.1_0.5/so_9223460.xlsx","so_9223460")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0.16666666666666671</v>
      </c>
    </row>
    <row r="302" spans="1:7" x14ac:dyDescent="0.15">
      <c r="A302" t="str">
        <f>HYPERLINK("./new_k5/query_cmdrels_weight_analyze/0.4_0.1_0.5/so_9245638.xlsx","so_9245638")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HYPERLINK("./new_k5/query_cmdrels_weight_analyze/0.4_0.1_0.5/so_9304953.xlsx","so_9304953")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HYPERLINK("./new_k5/query_cmdrels_weight_analyze/0.4_0.1_0.5/so_9361816.xlsx","so_9361816")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HYPERLINK("./new_k5/query_cmdrels_weight_analyze/0.4_0.1_0.5/su_116617.xlsx","su_116617")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HYPERLINK("./new_k5/query_cmdrels_weight_analyze/0.4_0.1_0.5/su_120045.xlsx","su_120045")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HYPERLINK("./new_k5/query_cmdrels_weight_analyze/0.4_0.1_0.5/su_127863.xlsx","su_127863")</f>
        <v>su_127863</v>
      </c>
      <c r="B307">
        <v>0</v>
      </c>
      <c r="C307">
        <v>0.5</v>
      </c>
      <c r="D307">
        <v>0.25</v>
      </c>
      <c r="E307">
        <v>0.5</v>
      </c>
      <c r="F307">
        <v>0.25</v>
      </c>
      <c r="G307">
        <v>0.5</v>
      </c>
    </row>
    <row r="308" spans="1:7" x14ac:dyDescent="0.15">
      <c r="A308" t="str">
        <f>HYPERLINK("./new_k5/query_cmdrels_weight_analyze/0.4_0.1_0.5/su_135498.xlsx","su_135498")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HYPERLINK("./new_k5/query_cmdrels_weight_analyze/0.4_0.1_0.5/su_147027.xlsx","su_147027")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0.25</v>
      </c>
    </row>
    <row r="310" spans="1:7" x14ac:dyDescent="0.15">
      <c r="A310" t="str">
        <f>HYPERLINK("./new_k5/query_cmdrels_weight_analyze/0.4_0.1_0.5/su_151911.xlsx","su_151911")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15">
      <c r="A311" t="str">
        <f>HYPERLINK("./new_k5/query_cmdrels_weight_analyze/0.4_0.1_0.5/su_153415.xlsx","su_153415")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HYPERLINK("./new_k5/query_cmdrels_weight_analyze/0.4_0.1_0.5/su_156189.xlsx","su_156189")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0.40277777777777768</v>
      </c>
    </row>
    <row r="313" spans="1:7" x14ac:dyDescent="0.15">
      <c r="A313" t="str">
        <f>HYPERLINK("./new_k5/query_cmdrels_weight_analyze/0.4_0.1_0.5/su_161531.xlsx","su_161531")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HYPERLINK("./new_k5/query_cmdrels_weight_analyze/0.4_0.1_0.5/su_204209.xlsx","su_204209")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HYPERLINK("./new_k5/query_cmdrels_weight_analyze/0.4_0.1_0.5/su_214390.xlsx","su_214390")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HYPERLINK("./new_k5/query_cmdrels_weight_analyze/0.4_0.1_0.5/su_215483.xlsx","su_215483")</f>
        <v>su_215483</v>
      </c>
      <c r="B316">
        <v>0.5</v>
      </c>
      <c r="C316">
        <v>0.5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HYPERLINK("./new_k5/query_cmdrels_weight_analyze/0.4_0.1_0.5/su_215504.xlsx","su_215504")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0.44166666666666671</v>
      </c>
    </row>
    <row r="318" spans="1:7" x14ac:dyDescent="0.15">
      <c r="A318" t="str">
        <f>HYPERLINK("./new_k5/query_cmdrels_weight_analyze/0.4_0.1_0.5/su_227385.xlsx","su_227385")</f>
        <v>su_227385</v>
      </c>
      <c r="B318">
        <v>0</v>
      </c>
      <c r="C318">
        <v>0</v>
      </c>
      <c r="D318">
        <v>0</v>
      </c>
      <c r="E318">
        <v>0.29166666666666657</v>
      </c>
      <c r="F318">
        <v>0</v>
      </c>
      <c r="G318">
        <v>0.6791666666666667</v>
      </c>
    </row>
    <row r="319" spans="1:7" x14ac:dyDescent="0.15">
      <c r="A319" t="str">
        <f>HYPERLINK("./new_k5/query_cmdrels_weight_analyze/0.4_0.1_0.5/su_273254.xlsx","su_273254")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HYPERLINK("./new_k5/query_cmdrels_weight_analyze/0.4_0.1_0.5/su_294161.xlsx","su_294161")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HYPERLINK("./new_k5/query_cmdrels_weight_analyze/0.4_0.1_0.5/su_302396.xlsx","su_302396")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HYPERLINK("./new_k5/query_cmdrels_weight_analyze/0.4_0.1_0.5/su_303981.xlsx","su_303981")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0.5</v>
      </c>
      <c r="F322">
        <v>0.5</v>
      </c>
      <c r="G322">
        <v>0.5</v>
      </c>
    </row>
    <row r="323" spans="1:7" x14ac:dyDescent="0.15">
      <c r="A323" t="str">
        <f>HYPERLINK("./new_k5/query_cmdrels_weight_analyze/0.4_0.1_0.5/su_305128.xlsx","su_305128")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0.75</v>
      </c>
    </row>
    <row r="324" spans="1:7" x14ac:dyDescent="0.15">
      <c r="A324" t="str">
        <f>HYPERLINK("./new_k5/query_cmdrels_weight_analyze/0.4_0.1_0.5/su_31512.xlsx","su_31512")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HYPERLINK("./new_k5/query_cmdrels_weight_analyze/0.4_0.1_0.5/su_380520.xlsx","su_380520")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0.33333333333333331</v>
      </c>
    </row>
    <row r="326" spans="1:7" x14ac:dyDescent="0.15">
      <c r="A326" t="str">
        <f>HYPERLINK("./new_k5/query_cmdrels_weight_analyze/0.4_0.1_0.5/su_38981.xlsx","su_38981")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HYPERLINK("./new_k5/query_cmdrels_weight_analyze/0.4_0.1_0.5/su_437330.xlsx","su_437330")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HYPERLINK("./new_k5/query_cmdrels_weight_analyze/0.4_0.1_0.5/su_441379.xlsx","su_441379")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HYPERLINK("./new_k5/query_cmdrels_weight_analyze/0.4_0.1_0.5/su_462788.xlsx","su_462788")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0.22222222222222221</v>
      </c>
      <c r="F329">
        <v>0.30555555555555558</v>
      </c>
      <c r="G329">
        <v>0.30555555555555558</v>
      </c>
    </row>
    <row r="330" spans="1:7" x14ac:dyDescent="0.15">
      <c r="A330" t="str">
        <f>HYPERLINK("./new_k5/query_cmdrels_weight_analyze/0.4_0.1_0.5/su_626606.xlsx","su_626606")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0.66666666666666663</v>
      </c>
    </row>
    <row r="331" spans="1:7" x14ac:dyDescent="0.15">
      <c r="A331" t="str">
        <f>HYPERLINK("./new_k5/query_cmdrels_weight_analyze/0.4_0.1_0.5/su_634469.xlsx","su_634469")</f>
        <v>su_634469</v>
      </c>
      <c r="B331">
        <v>0</v>
      </c>
      <c r="C331">
        <v>0.16666666666666671</v>
      </c>
      <c r="D331">
        <v>0</v>
      </c>
      <c r="E331">
        <v>0.33333333333333331</v>
      </c>
      <c r="F331">
        <v>0</v>
      </c>
      <c r="G331">
        <v>0.45833333333333331</v>
      </c>
    </row>
    <row r="332" spans="1:7" x14ac:dyDescent="0.15">
      <c r="A332" t="str">
        <f>HYPERLINK("./new_k5/query_cmdrels_weight_analyze/0.4_0.1_0.5/su_638616.xlsx","su_638616")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HYPERLINK("./new_k5/query_cmdrels_weight_analyze/0.4_0.1_0.5/su_678113.xlsx","su_678113")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0.75</v>
      </c>
    </row>
    <row r="334" spans="1:7" x14ac:dyDescent="0.15">
      <c r="A334" t="str">
        <f>HYPERLINK("./new_k5/query_cmdrels_weight_analyze/0.4_0.1_0.5/su_686394.xlsx","su_686394")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HYPERLINK("./new_k5/query_cmdrels_weight_analyze/0.4_0.1_0.5/su_716795.xlsx","su_716795")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</v>
      </c>
    </row>
    <row r="336" spans="1:7" x14ac:dyDescent="0.15">
      <c r="A336" t="str">
        <f>HYPERLINK("./new_k5/query_cmdrels_weight_analyze/0.4_0.1_0.5/su_758463.xlsx","su_758463")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HYPERLINK("./new_k5/query_cmdrels_weight_analyze/0.4_0.1_0.5/su_766437.xlsx","su_766437")</f>
        <v>su_766437</v>
      </c>
      <c r="B337">
        <v>0</v>
      </c>
      <c r="C337">
        <v>0.2</v>
      </c>
      <c r="D337">
        <v>0</v>
      </c>
      <c r="E337">
        <v>0.4</v>
      </c>
      <c r="F337">
        <v>0.05</v>
      </c>
      <c r="G337">
        <v>0.52</v>
      </c>
    </row>
    <row r="338" spans="1:7" x14ac:dyDescent="0.15">
      <c r="A338" t="str">
        <f>HYPERLINK("./new_k5/query_cmdrels_weight_analyze/0.4_0.1_0.5/su_904001.xlsx","su_904001")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HYPERLINK("./new_k5/query_cmdrels_weight_analyze/0.4_0.1_0.5/ul_100959.xlsx","ul_100959")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HYPERLINK("./new_k5/query_cmdrels_weight_analyze/0.4_0.1_0.5/ul_101073.xlsx","ul_101073")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HYPERLINK("./new_k5/query_cmdrels_weight_analyze/0.4_0.1_0.5/ul_101237.xlsx","ul_101237")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HYPERLINK("./new_k5/query_cmdrels_weight_analyze/0.4_0.1_0.5/ul_102752.xlsx","ul_102752")</f>
        <v>ul_102752</v>
      </c>
      <c r="B342">
        <v>0</v>
      </c>
      <c r="C342">
        <v>0.25</v>
      </c>
      <c r="D342">
        <v>0.29166666666666657</v>
      </c>
      <c r="E342">
        <v>0.5</v>
      </c>
      <c r="F342">
        <v>0.29166666666666657</v>
      </c>
      <c r="G342">
        <v>0.88749999999999996</v>
      </c>
    </row>
    <row r="343" spans="1:7" x14ac:dyDescent="0.15">
      <c r="A343" t="str">
        <f>HYPERLINK("./new_k5/query_cmdrels_weight_analyze/0.4_0.1_0.5/ul_108174.xlsx","ul_108174")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HYPERLINK("./new_k5/query_cmdrels_weight_analyze/0.4_0.1_0.5/ul_109536.xlsx","ul_109536")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HYPERLINK("./new_k5/query_cmdrels_weight_analyze/0.4_0.1_0.5/ul_112050.xlsx","ul_112050")</f>
        <v>ul_112050</v>
      </c>
      <c r="B345">
        <v>0</v>
      </c>
      <c r="C345">
        <v>0.25</v>
      </c>
      <c r="D345">
        <v>0.125</v>
      </c>
      <c r="E345">
        <v>0.5</v>
      </c>
      <c r="F345">
        <v>0.125</v>
      </c>
      <c r="G345">
        <v>0.6875</v>
      </c>
    </row>
    <row r="346" spans="1:7" x14ac:dyDescent="0.15">
      <c r="A346" t="str">
        <f>HYPERLINK("./new_k5/query_cmdrels_weight_analyze/0.4_0.1_0.5/ul_116070.xlsx","ul_116070")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HYPERLINK("./new_k5/query_cmdrels_weight_analyze/0.4_0.1_0.5/ul_11851.xlsx","ul_11851")</f>
        <v>ul_11851</v>
      </c>
      <c r="B347">
        <v>0</v>
      </c>
      <c r="C347">
        <v>0.2</v>
      </c>
      <c r="D347">
        <v>0</v>
      </c>
      <c r="E347">
        <v>0.4</v>
      </c>
      <c r="F347">
        <v>0</v>
      </c>
      <c r="G347">
        <v>0.71</v>
      </c>
    </row>
    <row r="348" spans="1:7" x14ac:dyDescent="0.15">
      <c r="A348" t="str">
        <f>HYPERLINK("./new_k5/query_cmdrels_weight_analyze/0.4_0.1_0.5/ul_119126.xlsx","ul_119126")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HYPERLINK("./new_k5/query_cmdrels_weight_analyze/0.4_0.1_0.5/ul_121718.xlsx","ul_121718")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HYPERLINK("./new_k5/query_cmdrels_weight_analyze/0.4_0.1_0.5/ul_12227.xlsx","ul_12227")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HYPERLINK("./new_k5/query_cmdrels_weight_analyze/0.4_0.1_0.5/ul_12453.xlsx","ul_12453")</f>
        <v>ul_12453</v>
      </c>
      <c r="B351">
        <v>0</v>
      </c>
      <c r="C351">
        <v>0</v>
      </c>
      <c r="D351">
        <v>0.125</v>
      </c>
      <c r="E351">
        <v>0.29166666666666657</v>
      </c>
      <c r="F351">
        <v>0.125</v>
      </c>
      <c r="G351">
        <v>0.29166666666666657</v>
      </c>
    </row>
    <row r="352" spans="1:7" x14ac:dyDescent="0.15">
      <c r="A352" t="str">
        <f>HYPERLINK("./new_k5/query_cmdrels_weight_analyze/0.4_0.1_0.5/ul_12535.xlsx","ul_12535")</f>
        <v>ul_12535</v>
      </c>
      <c r="B352">
        <v>0</v>
      </c>
      <c r="C352">
        <v>0</v>
      </c>
      <c r="D352">
        <v>0</v>
      </c>
      <c r="E352">
        <v>0.23333333333333331</v>
      </c>
      <c r="F352">
        <v>0.05</v>
      </c>
      <c r="G352">
        <v>0.23333333333333331</v>
      </c>
    </row>
    <row r="353" spans="1:7" x14ac:dyDescent="0.15">
      <c r="A353" t="str">
        <f>HYPERLINK("./new_k5/query_cmdrels_weight_analyze/0.4_0.1_0.5/ul_127066.xlsx","ul_127066")</f>
        <v>ul_127066</v>
      </c>
      <c r="B353">
        <v>0.25</v>
      </c>
      <c r="C353">
        <v>0.25</v>
      </c>
      <c r="D353">
        <v>0.25</v>
      </c>
      <c r="E353">
        <v>0.5</v>
      </c>
      <c r="F353">
        <v>0.25</v>
      </c>
      <c r="G353">
        <v>0.5</v>
      </c>
    </row>
    <row r="354" spans="1:7" x14ac:dyDescent="0.15">
      <c r="A354" t="str">
        <f>HYPERLINK("./new_k5/query_cmdrels_weight_analyze/0.4_0.1_0.5/ul_128953.xlsx","ul_128953")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HYPERLINK("./new_k5/query_cmdrels_weight_analyze/0.4_0.1_0.5/ul_134829.xlsx","ul_134829")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0.33333333333333331</v>
      </c>
      <c r="F355">
        <v>0.33333333333333331</v>
      </c>
      <c r="G355">
        <v>0.43333333333333329</v>
      </c>
    </row>
    <row r="356" spans="1:7" x14ac:dyDescent="0.15">
      <c r="A356" t="str">
        <f>HYPERLINK("./new_k5/query_cmdrels_weight_analyze/0.4_0.1_0.5/ul_136371.xlsx","ul_136371")</f>
        <v>ul_136371</v>
      </c>
      <c r="B356">
        <v>0</v>
      </c>
      <c r="C356">
        <v>0.33333333333333331</v>
      </c>
      <c r="D356">
        <v>0</v>
      </c>
      <c r="E356">
        <v>0.33333333333333331</v>
      </c>
      <c r="F356">
        <v>0</v>
      </c>
      <c r="G356">
        <v>0.46666666666666662</v>
      </c>
    </row>
    <row r="357" spans="1:7" x14ac:dyDescent="0.15">
      <c r="A357" t="str">
        <f>HYPERLINK("./new_k5/query_cmdrels_weight_analyze/0.4_0.1_0.5/ul_136884.xlsx","ul_136884")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HYPERLINK("./new_k5/query_cmdrels_weight_analyze/0.4_0.1_0.5/ul_138398.xlsx","ul_138398")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6.25E-2</v>
      </c>
    </row>
    <row r="359" spans="1:7" x14ac:dyDescent="0.15">
      <c r="A359" t="str">
        <f>HYPERLINK("./new_k5/query_cmdrels_weight_analyze/0.4_0.1_0.5/ul_139271.xlsx","ul_139271")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0.33333333333333331</v>
      </c>
      <c r="F359">
        <v>0.33333333333333331</v>
      </c>
      <c r="G359">
        <v>0.43333333333333329</v>
      </c>
    </row>
    <row r="360" spans="1:7" x14ac:dyDescent="0.15">
      <c r="A360" t="str">
        <f>HYPERLINK("./new_k5/query_cmdrels_weight_analyze/0.4_0.1_0.5/ul_140482.xlsx","ul_140482")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0.55555555555555547</v>
      </c>
      <c r="F360">
        <v>0.33333333333333331</v>
      </c>
      <c r="G360">
        <v>0.55555555555555547</v>
      </c>
    </row>
    <row r="361" spans="1:7" x14ac:dyDescent="0.15">
      <c r="A361" t="str">
        <f>HYPERLINK("./new_k5/query_cmdrels_weight_analyze/0.4_0.1_0.5/ul_14191.xlsx","ul_14191")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0.24444444444444449</v>
      </c>
    </row>
    <row r="362" spans="1:7" x14ac:dyDescent="0.15">
      <c r="A362" t="str">
        <f>HYPERLINK("./new_k5/query_cmdrels_weight_analyze/0.4_0.1_0.5/ul_145929.xlsx","ul_145929")</f>
        <v>ul_145929</v>
      </c>
      <c r="B362">
        <v>0</v>
      </c>
      <c r="C362">
        <v>0</v>
      </c>
      <c r="D362">
        <v>0.16666666666666671</v>
      </c>
      <c r="E362">
        <v>0</v>
      </c>
      <c r="F362">
        <v>0.16666666666666671</v>
      </c>
      <c r="G362">
        <v>0.125</v>
      </c>
    </row>
    <row r="363" spans="1:7" x14ac:dyDescent="0.15">
      <c r="A363" t="str">
        <f>HYPERLINK("./new_k5/query_cmdrels_weight_analyze/0.4_0.1_0.5/ul_148985.xlsx","ul_148985")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HYPERLINK("./new_k5/query_cmdrels_weight_analyze/0.4_0.1_0.5/ul_15405.xlsx","ul_15405")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0.65</v>
      </c>
    </row>
    <row r="365" spans="1:7" x14ac:dyDescent="0.15">
      <c r="A365" t="str">
        <f>HYPERLINK("./new_k5/query_cmdrels_weight_analyze/0.4_0.1_0.5/ul_155551.xlsx","ul_155551")</f>
        <v>ul_155551</v>
      </c>
      <c r="B365">
        <v>0</v>
      </c>
      <c r="C365">
        <v>0</v>
      </c>
      <c r="D365">
        <v>0</v>
      </c>
      <c r="E365">
        <v>0.25</v>
      </c>
      <c r="F365">
        <v>0</v>
      </c>
      <c r="G365">
        <v>0.5</v>
      </c>
    </row>
    <row r="366" spans="1:7" x14ac:dyDescent="0.15">
      <c r="A366" t="str">
        <f>HYPERLINK("./new_k5/query_cmdrels_weight_analyze/0.4_0.1_0.5/ul_159672.xlsx","ul_159672")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HYPERLINK("./new_k5/query_cmdrels_weight_analyze/0.4_0.1_0.5/ul_163845.xlsx","ul_163845")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HYPERLINK("./new_k5/query_cmdrels_weight_analyze/0.4_0.1_0.5/ul_16407.xlsx","ul_16407")</f>
        <v>ul_16407</v>
      </c>
      <c r="B368">
        <v>0.5</v>
      </c>
      <c r="C368">
        <v>0.5</v>
      </c>
      <c r="D368">
        <v>0.5</v>
      </c>
      <c r="E368">
        <v>1</v>
      </c>
      <c r="F368">
        <v>0.75</v>
      </c>
      <c r="G368">
        <v>1</v>
      </c>
    </row>
    <row r="369" spans="1:7" x14ac:dyDescent="0.15">
      <c r="A369" t="str">
        <f>HYPERLINK("./new_k5/query_cmdrels_weight_analyze/0.4_0.1_0.5/ul_166558.xlsx","ul_166558")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HYPERLINK("./new_k5/query_cmdrels_weight_analyze/0.4_0.1_0.5/ul_171314.xlsx","ul_171314")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0.35</v>
      </c>
    </row>
    <row r="371" spans="1:7" x14ac:dyDescent="0.15">
      <c r="A371" t="str">
        <f>HYPERLINK("./new_k5/query_cmdrels_weight_analyze/0.4_0.1_0.5/ul_182032.xlsx","ul_182032")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HYPERLINK("./new_k5/query_cmdrels_weight_analyze/0.4_0.1_0.5/ul_19344.xlsx","ul_19344")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HYPERLINK("./new_k5/query_cmdrels_weight_analyze/0.4_0.1_0.5/ul_19369.xlsx","ul_19369")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HYPERLINK("./new_k5/query_cmdrels_weight_analyze/0.4_0.1_0.5/ul_19485.xlsx","ul_19485")</f>
        <v>ul_19485</v>
      </c>
      <c r="B374">
        <v>0</v>
      </c>
      <c r="C374">
        <v>0</v>
      </c>
      <c r="D374">
        <v>0</v>
      </c>
      <c r="E374">
        <v>0.33333333333333331</v>
      </c>
      <c r="F374">
        <v>0</v>
      </c>
      <c r="G374">
        <v>0.33333333333333331</v>
      </c>
    </row>
    <row r="375" spans="1:7" x14ac:dyDescent="0.15">
      <c r="A375" t="str">
        <f>HYPERLINK("./new_k5/query_cmdrels_weight_analyze/0.4_0.1_0.5/ul_20370.xlsx","ul_20370")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15">
      <c r="A376" t="str">
        <f>HYPERLINK("./new_k5/query_cmdrels_weight_analyze/0.4_0.1_0.5/ul_211817.xlsx","ul_211817")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HYPERLINK("./new_k5/query_cmdrels_weight_analyze/0.4_0.1_0.5/ul_212925.xlsx","ul_212925")</f>
        <v>ul_212925</v>
      </c>
      <c r="B377">
        <v>0</v>
      </c>
      <c r="C377">
        <v>0</v>
      </c>
      <c r="D377">
        <v>0</v>
      </c>
      <c r="E377">
        <v>0.5</v>
      </c>
      <c r="F377">
        <v>0</v>
      </c>
      <c r="G377">
        <v>0.5</v>
      </c>
    </row>
    <row r="378" spans="1:7" x14ac:dyDescent="0.15">
      <c r="A378" t="str">
        <f>HYPERLINK("./new_k5/query_cmdrels_weight_analyze/0.4_0.1_0.5/ul_21471.xlsx","ul_21471")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HYPERLINK("./new_k5/query_cmdrels_weight_analyze/0.4_0.1_0.5/ul_22545.xlsx","ul_22545")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HYPERLINK("./new_k5/query_cmdrels_weight_analyze/0.4_0.1_0.5/ul_230481.xlsx","ul_230481")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0.55555555555555547</v>
      </c>
    </row>
    <row r="381" spans="1:7" x14ac:dyDescent="0.15">
      <c r="A381" t="str">
        <f>HYPERLINK("./new_k5/query_cmdrels_weight_analyze/0.4_0.1_0.5/ul_230673.xlsx","ul_230673")</f>
        <v>ul_230673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0.125</v>
      </c>
    </row>
    <row r="382" spans="1:7" x14ac:dyDescent="0.15">
      <c r="A382" t="str">
        <f>HYPERLINK("./new_k5/query_cmdrels_weight_analyze/0.4_0.1_0.5/ul_230800.xlsx","ul_230800")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HYPERLINK("./new_k5/query_cmdrels_weight_analyze/0.4_0.1_0.5/ul_232384.xlsx","ul_232384")</f>
        <v>ul_232384</v>
      </c>
      <c r="B383">
        <v>0</v>
      </c>
      <c r="C383">
        <v>0.5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HYPERLINK("./new_k5/query_cmdrels_weight_analyze/0.4_0.1_0.5/ul_24441.xlsx","ul_24441")</f>
        <v>ul_24441</v>
      </c>
      <c r="B384">
        <v>0</v>
      </c>
      <c r="C384">
        <v>0</v>
      </c>
      <c r="D384">
        <v>0</v>
      </c>
      <c r="E384">
        <v>0.25</v>
      </c>
      <c r="F384">
        <v>0</v>
      </c>
      <c r="G384">
        <v>0.25</v>
      </c>
    </row>
    <row r="385" spans="1:7" x14ac:dyDescent="0.15">
      <c r="A385" t="str">
        <f>HYPERLINK("./new_k5/query_cmdrels_weight_analyze/0.4_0.1_0.5/ul_246535.xlsx","ul_246535")</f>
        <v>ul_246535</v>
      </c>
      <c r="B385">
        <v>0.2</v>
      </c>
      <c r="C385">
        <v>0.2</v>
      </c>
      <c r="D385">
        <v>0.2</v>
      </c>
      <c r="E385">
        <v>0.2</v>
      </c>
      <c r="F385">
        <v>0.2</v>
      </c>
      <c r="G385">
        <v>0.42</v>
      </c>
    </row>
    <row r="386" spans="1:7" x14ac:dyDescent="0.15">
      <c r="A386" t="str">
        <f>HYPERLINK("./new_k5/query_cmdrels_weight_analyze/0.4_0.1_0.5/ul_259791.xlsx","ul_259791")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HYPERLINK("./new_k5/query_cmdrels_weight_analyze/0.4_0.1_0.5/ul_273971.xlsx","ul_273971")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0.33333333333333331</v>
      </c>
      <c r="F387">
        <v>0.43333333333333329</v>
      </c>
      <c r="G387">
        <v>0.43333333333333329</v>
      </c>
    </row>
    <row r="388" spans="1:7" x14ac:dyDescent="0.15">
      <c r="A388" t="str">
        <f>HYPERLINK("./new_k5/query_cmdrels_weight_analyze/0.4_0.1_0.5/ul_28553.xlsx","ul_28553")</f>
        <v>ul_28553</v>
      </c>
      <c r="B388">
        <v>0.25</v>
      </c>
      <c r="C388">
        <v>0</v>
      </c>
      <c r="D388">
        <v>0.5</v>
      </c>
      <c r="E388">
        <v>0</v>
      </c>
      <c r="F388">
        <v>0.5</v>
      </c>
      <c r="G388">
        <v>0</v>
      </c>
    </row>
    <row r="389" spans="1:7" x14ac:dyDescent="0.15">
      <c r="A389" t="str">
        <f>HYPERLINK("./new_k5/query_cmdrels_weight_analyze/0.4_0.1_0.5/ul_288521.xlsx","ul_288521")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HYPERLINK("./new_k5/query_cmdrels_weight_analyze/0.4_0.1_0.5/ul_32290.xlsx","ul_32290")</f>
        <v>ul_32290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6.25E-2</v>
      </c>
    </row>
    <row r="391" spans="1:7" x14ac:dyDescent="0.15">
      <c r="A391" t="str">
        <f>HYPERLINK("./new_k5/query_cmdrels_weight_analyze/0.4_0.1_0.5/ul_328882.xlsx","ul_328882")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HYPERLINK("./new_k5/query_cmdrels_weight_analyze/0.4_0.1_0.5/ul_35131.xlsx","ul_35131")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0.66666666666666663</v>
      </c>
    </row>
    <row r="393" spans="1:7" x14ac:dyDescent="0.15">
      <c r="A393" t="str">
        <f>HYPERLINK("./new_k5/query_cmdrels_weight_analyze/0.4_0.1_0.5/ul_35333.xlsx","ul_35333")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HYPERLINK("./new_k5/query_cmdrels_weight_analyze/0.4_0.1_0.5/ul_35711.xlsx","ul_35711")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HYPERLINK("./new_k5/query_cmdrels_weight_analyze/0.4_0.1_0.5/ul_3575.xlsx","ul_3575")</f>
        <v>ul_3575</v>
      </c>
      <c r="B395">
        <v>0</v>
      </c>
      <c r="C395">
        <v>0.16666666666666671</v>
      </c>
      <c r="D395">
        <v>8.3333333333333329E-2</v>
      </c>
      <c r="E395">
        <v>0.16666666666666671</v>
      </c>
      <c r="F395">
        <v>8.3333333333333329E-2</v>
      </c>
      <c r="G395">
        <v>0.16666666666666671</v>
      </c>
    </row>
    <row r="396" spans="1:7" x14ac:dyDescent="0.15">
      <c r="A396" t="str">
        <f>HYPERLINK("./new_k5/query_cmdrels_weight_analyze/0.4_0.1_0.5/ul_35832.xlsx","ul_35832")</f>
        <v>ul_35832</v>
      </c>
      <c r="B396">
        <v>0.5</v>
      </c>
      <c r="C396">
        <v>0.5</v>
      </c>
      <c r="D396">
        <v>0.5</v>
      </c>
      <c r="E396">
        <v>1</v>
      </c>
      <c r="F396">
        <v>0.5</v>
      </c>
      <c r="G396">
        <v>1</v>
      </c>
    </row>
    <row r="397" spans="1:7" x14ac:dyDescent="0.15">
      <c r="A397" t="str">
        <f>HYPERLINK("./new_k5/query_cmdrels_weight_analyze/0.4_0.1_0.5/ul_370318.xlsx","ul_370318")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0.42857142857142849</v>
      </c>
      <c r="F397">
        <v>0.14285714285714279</v>
      </c>
      <c r="G397">
        <v>0.42857142857142849</v>
      </c>
    </row>
    <row r="398" spans="1:7" x14ac:dyDescent="0.15">
      <c r="A398" t="str">
        <f>HYPERLINK("./new_k5/query_cmdrels_weight_analyze/0.4_0.1_0.5/ul_37329.xlsx","ul_37329")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0.55555555555555547</v>
      </c>
      <c r="F398">
        <v>0.33333333333333331</v>
      </c>
      <c r="G398">
        <v>0.55555555555555547</v>
      </c>
    </row>
    <row r="399" spans="1:7" x14ac:dyDescent="0.15">
      <c r="A399" t="str">
        <f>HYPERLINK("./new_k5/query_cmdrels_weight_analyze/0.4_0.1_0.5/ul_38209.xlsx","ul_38209")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HYPERLINK("./new_k5/query_cmdrels_weight_analyze/0.4_0.1_0.5/ul_41246.xlsx","ul_41246")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HYPERLINK("./new_k5/query_cmdrels_weight_analyze/0.4_0.1_0.5/ul_41362.xlsx","ul_41362")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0.05</v>
      </c>
    </row>
    <row r="402" spans="1:7" x14ac:dyDescent="0.15">
      <c r="A402" t="str">
        <f>HYPERLINK("./new_k5/query_cmdrels_weight_analyze/0.4_0.1_0.5/ul_48200.xlsx","ul_48200")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HYPERLINK("./new_k5/query_cmdrels_weight_analyze/0.4_0.1_0.5/ul_50098.xlsx","ul_50098")</f>
        <v>ul_50098</v>
      </c>
      <c r="B403">
        <v>0</v>
      </c>
      <c r="C403">
        <v>0.1</v>
      </c>
      <c r="D403">
        <v>0.1166666666666667</v>
      </c>
      <c r="E403">
        <v>0.16666666666666671</v>
      </c>
      <c r="F403">
        <v>0.1166666666666667</v>
      </c>
      <c r="G403">
        <v>0.24166666666666661</v>
      </c>
    </row>
    <row r="404" spans="1:7" x14ac:dyDescent="0.15">
      <c r="A404" t="str">
        <f>HYPERLINK("./new_k5/query_cmdrels_weight_analyze/0.4_0.1_0.5/ul_50785.xlsx","ul_50785")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HYPERLINK("./new_k5/query_cmdrels_weight_analyze/0.4_0.1_0.5/ul_5085.xlsx","ul_5085")</f>
        <v>ul_5085</v>
      </c>
      <c r="B405">
        <v>0</v>
      </c>
      <c r="C405">
        <v>0</v>
      </c>
      <c r="D405">
        <v>0.25</v>
      </c>
      <c r="E405">
        <v>0.25</v>
      </c>
      <c r="F405">
        <v>0.25</v>
      </c>
      <c r="G405">
        <v>0.25</v>
      </c>
    </row>
    <row r="406" spans="1:7" x14ac:dyDescent="0.15">
      <c r="A406" t="str">
        <f>HYPERLINK("./new_k5/query_cmdrels_weight_analyze/0.4_0.1_0.5/ul_53737.xlsx","ul_53737")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HYPERLINK("./new_k5/query_cmdrels_weight_analyze/0.4_0.1_0.5/ul_55125.xlsx","ul_55125")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HYPERLINK("./new_k5/query_cmdrels_weight_analyze/0.4_0.1_0.5/ul_56453.xlsx","ul_56453")</f>
        <v>ul_56453</v>
      </c>
      <c r="B408">
        <v>0</v>
      </c>
      <c r="C408">
        <v>0</v>
      </c>
      <c r="D408">
        <v>8.3333333333333329E-2</v>
      </c>
      <c r="E408">
        <v>0.125</v>
      </c>
      <c r="F408">
        <v>8.3333333333333329E-2</v>
      </c>
      <c r="G408">
        <v>0.125</v>
      </c>
    </row>
    <row r="409" spans="1:7" x14ac:dyDescent="0.15">
      <c r="A409" t="str">
        <f>HYPERLINK("./new_k5/query_cmdrels_weight_analyze/0.4_0.1_0.5/ul_63648.xlsx","ul_63648")</f>
        <v>ul_63648</v>
      </c>
      <c r="B409">
        <v>0</v>
      </c>
      <c r="C409">
        <v>0</v>
      </c>
      <c r="D409">
        <v>0.125</v>
      </c>
      <c r="E409">
        <v>8.3333333333333329E-2</v>
      </c>
      <c r="F409">
        <v>0.25</v>
      </c>
      <c r="G409">
        <v>8.3333333333333329E-2</v>
      </c>
    </row>
    <row r="410" spans="1:7" x14ac:dyDescent="0.15">
      <c r="A410" t="str">
        <f>HYPERLINK("./new_k5/query_cmdrels_weight_analyze/0.4_0.1_0.5/ul_6402.xlsx","ul_6402")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0.46666666666666662</v>
      </c>
    </row>
    <row r="411" spans="1:7" x14ac:dyDescent="0.15">
      <c r="A411" t="str">
        <f>HYPERLINK("./new_k5/query_cmdrels_weight_analyze/0.4_0.1_0.5/ul_65106.xlsx","ul_65106")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0.91666666666666663</v>
      </c>
    </row>
    <row r="412" spans="1:7" x14ac:dyDescent="0.15">
      <c r="A412" t="str">
        <f>HYPERLINK("./new_k5/query_cmdrels_weight_analyze/0.4_0.1_0.5/ul_65932.xlsx","ul_65932")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HYPERLINK("./new_k5/query_cmdrels_weight_analyze/0.4_0.1_0.5/ul_6596.xlsx","ul_6596")</f>
        <v>ul_6596</v>
      </c>
      <c r="B413">
        <v>0.2</v>
      </c>
      <c r="C413">
        <v>0.2</v>
      </c>
      <c r="D413">
        <v>0.6</v>
      </c>
      <c r="E413">
        <v>0.6</v>
      </c>
      <c r="F413">
        <v>0.6</v>
      </c>
      <c r="G413">
        <v>0.76</v>
      </c>
    </row>
    <row r="414" spans="1:7" x14ac:dyDescent="0.15">
      <c r="A414" t="str">
        <f>HYPERLINK("./new_k5/query_cmdrels_weight_analyze/0.4_0.1_0.5/ul_67503.xlsx","ul_67503")</f>
        <v>ul_67503</v>
      </c>
      <c r="B414">
        <v>0</v>
      </c>
      <c r="C414">
        <v>0.5</v>
      </c>
      <c r="D414">
        <v>0.25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HYPERLINK("./new_k5/query_cmdrels_weight_analyze/0.4_0.1_0.5/ul_67592.xlsx","ul_67592")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HYPERLINK("./new_k5/query_cmdrels_weight_analyze/0.4_0.1_0.5/ul_70581.xlsx","ul_70581")</f>
        <v>ul_70581</v>
      </c>
      <c r="B416">
        <v>0</v>
      </c>
      <c r="C416">
        <v>0</v>
      </c>
      <c r="D416">
        <v>0.1</v>
      </c>
      <c r="E416">
        <v>0.1</v>
      </c>
      <c r="F416">
        <v>0.1</v>
      </c>
      <c r="G416">
        <v>0.1</v>
      </c>
    </row>
    <row r="417" spans="1:7" x14ac:dyDescent="0.15">
      <c r="A417" t="str">
        <f>HYPERLINK("./new_k5/query_cmdrels_weight_analyze/0.4_0.1_0.5/ul_70614.xlsx","ul_70614")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HYPERLINK("./new_k5/query_cmdrels_weight_analyze/0.4_0.1_0.5/ul_71465.xlsx","ul_71465")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HYPERLINK("./new_k5/query_cmdrels_weight_analyze/0.4_0.1_0.5/ul_7226.xlsx","ul_7226")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0.55555555555555547</v>
      </c>
      <c r="F419">
        <v>0.33333333333333331</v>
      </c>
      <c r="G419">
        <v>0.55555555555555547</v>
      </c>
    </row>
    <row r="420" spans="1:7" x14ac:dyDescent="0.15">
      <c r="A420" t="str">
        <f>HYPERLINK("./new_k5/query_cmdrels_weight_analyze/0.4_0.1_0.5/ul_78182.xlsx","ul_78182")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HYPERLINK("./new_k5/query_cmdrels_weight_analyze/0.4_0.1_0.5/ul_79678.xlsx","ul_79678")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HYPERLINK("./new_k5/query_cmdrels_weight_analyze/0.4_0.1_0.5/ul_79702.xlsx","ul_79702")</f>
        <v>ul_79702</v>
      </c>
      <c r="B422">
        <v>0</v>
      </c>
      <c r="C422">
        <v>0.33333333333333331</v>
      </c>
      <c r="D422">
        <v>0</v>
      </c>
      <c r="E422">
        <v>0.66666666666666663</v>
      </c>
      <c r="F422">
        <v>0</v>
      </c>
      <c r="G422">
        <v>0.91666666666666663</v>
      </c>
    </row>
    <row r="423" spans="1:7" x14ac:dyDescent="0.15">
      <c r="A423" t="str">
        <f>HYPERLINK("./new_k5/query_cmdrels_weight_analyze/0.4_0.1_0.5/ul_83593.xlsx","ul_83593")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HYPERLINK("./new_k5/query_cmdrels_weight_analyze/0.4_0.1_0.5/ul_84381.xlsx","ul_84381")</f>
        <v>ul_84381</v>
      </c>
      <c r="B424">
        <v>0</v>
      </c>
      <c r="C424">
        <v>0.33333333333333331</v>
      </c>
      <c r="D424">
        <v>0.16666666666666671</v>
      </c>
      <c r="E424">
        <v>0.33333333333333331</v>
      </c>
      <c r="F424">
        <v>0.16666666666666671</v>
      </c>
      <c r="G424">
        <v>0.33333333333333331</v>
      </c>
    </row>
    <row r="425" spans="1:7" x14ac:dyDescent="0.15">
      <c r="A425" t="str">
        <f>HYPERLINK("./new_k5/query_cmdrels_weight_analyze/0.4_0.1_0.5/ul_85180.xlsx","ul_85180")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0.1111111111111111</v>
      </c>
    </row>
    <row r="426" spans="1:7" x14ac:dyDescent="0.15">
      <c r="A426" t="str">
        <f>HYPERLINK("./new_k5/query_cmdrels_weight_analyze/0.4_0.1_0.5/ul_86071.xlsx","ul_86071")</f>
        <v>ul_86071</v>
      </c>
      <c r="B426">
        <v>0</v>
      </c>
      <c r="C426">
        <v>0</v>
      </c>
      <c r="D426">
        <v>0</v>
      </c>
      <c r="E426">
        <v>0.16666666666666671</v>
      </c>
      <c r="F426">
        <v>0</v>
      </c>
      <c r="G426">
        <v>0.16666666666666671</v>
      </c>
    </row>
    <row r="427" spans="1:7" x14ac:dyDescent="0.15">
      <c r="A427" t="str">
        <f>HYPERLINK("./new_k5/query_cmdrels_weight_analyze/0.4_0.1_0.5/ul_86729.xlsx","ul_86729")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HYPERLINK("./new_k5/query_cmdrels_weight_analyze/0.4_0.1_0.5/ul_88824.xlsx","ul_88824")</f>
        <v>ul_88824</v>
      </c>
      <c r="B428">
        <v>0</v>
      </c>
      <c r="C428">
        <v>0.33333333333333331</v>
      </c>
      <c r="D428">
        <v>0</v>
      </c>
      <c r="E428">
        <v>0.55555555555555547</v>
      </c>
      <c r="F428">
        <v>0</v>
      </c>
      <c r="G428">
        <v>0.55555555555555547</v>
      </c>
    </row>
    <row r="429" spans="1:7" x14ac:dyDescent="0.15">
      <c r="A429" t="str">
        <f>HYPERLINK("./new_k5/query_cmdrels_weight_analyze/0.4_0.1_0.5/ul_8945.xlsx","ul_8945")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HYPERLINK("./new_k5/query_cmdrels_weight_analyze/0.4_0.1_0.5/ul_89933.xlsx","ul_89933")</f>
        <v>ul_89933</v>
      </c>
      <c r="B430">
        <v>0.5</v>
      </c>
      <c r="C430">
        <v>0</v>
      </c>
      <c r="D430">
        <v>0.5</v>
      </c>
      <c r="E430">
        <v>0.25</v>
      </c>
      <c r="F430">
        <v>0.5</v>
      </c>
      <c r="G430">
        <v>0.25</v>
      </c>
    </row>
    <row r="431" spans="1:7" x14ac:dyDescent="0.15">
      <c r="A431" t="str">
        <f>HYPERLINK("./new_k5/query_cmdrels_weight_analyze/0.4_0.1_0.5/ul_91297.xlsx","ul_91297")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HYPERLINK("./new_k5/query_cmdrels_weight_analyze/0.4_0.1_0.5/ul_9252.xlsx","ul_9252")</f>
        <v>ul_9252</v>
      </c>
      <c r="B432">
        <v>0</v>
      </c>
      <c r="C432">
        <v>0</v>
      </c>
      <c r="D432">
        <v>0.23333333333333331</v>
      </c>
      <c r="E432">
        <v>0.1</v>
      </c>
      <c r="F432">
        <v>0.23333333333333331</v>
      </c>
      <c r="G432">
        <v>0.18</v>
      </c>
    </row>
    <row r="433" spans="1:7" x14ac:dyDescent="0.15">
      <c r="A433" t="str">
        <f>HYPERLINK("./new_k5/query_cmdrels_weight_analyze/0.4_0.1_0.5/ul_92560.xlsx","ul_92560")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0.75</v>
      </c>
    </row>
    <row r="434" spans="1:7" x14ac:dyDescent="0.15">
      <c r="A434" t="str">
        <f>HYPERLINK("./new_k5/query_cmdrels_weight_analyze/0.4_0.1_0.5/ul_92799.xlsx","ul_92799")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0.27777777777777768</v>
      </c>
      <c r="F434">
        <v>0.53611111111111109</v>
      </c>
      <c r="G434">
        <v>0.53611111111111109</v>
      </c>
    </row>
    <row r="435" spans="1:7" x14ac:dyDescent="0.15">
      <c r="A435" t="str">
        <f>HYPERLINK("./new_k5/query_cmdrels_weight_analyze/0.4_0.1_0.5/ul_93139.xlsx","ul_93139")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HYPERLINK("./new_k5/query_cmdrels_weight_analyze/0.4_0.1_0.5/ul_98461.xlsx","ul_98461")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HYPERLINK("./new_k5/query_cmdrels_weight_analyze/0.4_0.2_0.4/au_102733.xlsx","au_102733")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HYPERLINK("./new_k5/query_cmdrels_weight_analyze/0.4_0.2_0.4/au_1029436.xlsx","au_1029436")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HYPERLINK("./new_k5/query_cmdrels_weight_analyze/0.4_0.2_0.4/au_1029502.xlsx","au_1029502")</f>
        <v>au_1029502</v>
      </c>
      <c r="B5">
        <v>0.25</v>
      </c>
      <c r="C5">
        <v>0.25</v>
      </c>
      <c r="D5">
        <v>0.25</v>
      </c>
      <c r="E5">
        <v>0.25</v>
      </c>
      <c r="F5">
        <v>0.375</v>
      </c>
      <c r="G5">
        <v>0.25</v>
      </c>
    </row>
    <row r="6" spans="1:7" x14ac:dyDescent="0.15">
      <c r="A6" t="str">
        <f>HYPERLINK("./new_k5/query_cmdrels_weight_analyze/0.4_0.2_0.4/au_1029531.xlsx","au_1029531")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HYPERLINK("./new_k5/query_cmdrels_weight_analyze/0.4_0.2_0.4/au_104542.xlsx","au_104542")</f>
        <v>au_104542</v>
      </c>
      <c r="B7">
        <v>0.125</v>
      </c>
      <c r="C7">
        <v>0.125</v>
      </c>
      <c r="D7">
        <v>0.25</v>
      </c>
      <c r="E7">
        <v>0.25</v>
      </c>
      <c r="F7">
        <v>0.25</v>
      </c>
      <c r="G7">
        <v>0.34375</v>
      </c>
    </row>
    <row r="8" spans="1:7" x14ac:dyDescent="0.15">
      <c r="A8" t="str">
        <f>HYPERLINK("./new_k5/query_cmdrels_weight_analyze/0.4_0.2_0.4/au_109070.xlsx","au_109070")</f>
        <v>au_109070</v>
      </c>
      <c r="B8">
        <v>0</v>
      </c>
      <c r="C8">
        <v>0</v>
      </c>
      <c r="D8">
        <v>0.23333333333333331</v>
      </c>
      <c r="E8">
        <v>6.6666666666666666E-2</v>
      </c>
      <c r="F8">
        <v>0.3833333333333333</v>
      </c>
      <c r="G8">
        <v>6.6666666666666666E-2</v>
      </c>
    </row>
    <row r="9" spans="1:7" x14ac:dyDescent="0.15">
      <c r="A9" t="str">
        <f>HYPERLINK("./new_k5/query_cmdrels_weight_analyze/0.4_0.2_0.4/au_109381.xlsx","au_109381")</f>
        <v>au_109381</v>
      </c>
      <c r="B9">
        <v>0</v>
      </c>
      <c r="C9">
        <v>0</v>
      </c>
      <c r="D9">
        <v>0.25</v>
      </c>
      <c r="E9">
        <v>0.25</v>
      </c>
      <c r="F9">
        <v>0.25</v>
      </c>
      <c r="G9">
        <v>0.25</v>
      </c>
    </row>
    <row r="10" spans="1:7" x14ac:dyDescent="0.15">
      <c r="A10" t="str">
        <f>HYPERLINK("./new_k5/query_cmdrels_weight_analyze/0.4_0.2_0.4/au_110477.xlsx","au_110477")</f>
        <v>au_110477</v>
      </c>
      <c r="B10">
        <v>0.25</v>
      </c>
      <c r="C10">
        <v>0.25</v>
      </c>
      <c r="D10">
        <v>0.5</v>
      </c>
      <c r="E10">
        <v>0.75</v>
      </c>
      <c r="F10">
        <v>0.5</v>
      </c>
      <c r="G10">
        <v>0.75</v>
      </c>
    </row>
    <row r="11" spans="1:7" x14ac:dyDescent="0.15">
      <c r="A11" t="str">
        <f>HYPERLINK("./new_k5/query_cmdrels_weight_analyze/0.4_0.2_0.4/au_111678.xlsx","au_111678")</f>
        <v>au_111678</v>
      </c>
      <c r="B11">
        <v>0</v>
      </c>
      <c r="C11">
        <v>0.33333333333333331</v>
      </c>
      <c r="D11">
        <v>0.1111111111111111</v>
      </c>
      <c r="E11">
        <v>0.33333333333333331</v>
      </c>
      <c r="F11">
        <v>0.1111111111111111</v>
      </c>
      <c r="G11">
        <v>0.33333333333333331</v>
      </c>
    </row>
    <row r="12" spans="1:7" x14ac:dyDescent="0.15">
      <c r="A12" t="str">
        <f>HYPERLINK("./new_k5/query_cmdrels_weight_analyze/0.4_0.2_0.4/au_112512.xlsx","au_112512")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HYPERLINK("./new_k5/query_cmdrels_weight_analyze/0.4_0.2_0.4/au_115369.xlsx","au_115369")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HYPERLINK("./new_k5/query_cmdrels_weight_analyze/0.4_0.2_0.4/au_11789.xlsx","au_11789")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HYPERLINK("./new_k5/query_cmdrels_weight_analyze/0.4_0.2_0.4/au_117950.xlsx","au_117950")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0.125</v>
      </c>
    </row>
    <row r="16" spans="1:7" x14ac:dyDescent="0.15">
      <c r="A16" t="str">
        <f>HYPERLINK("./new_k5/query_cmdrels_weight_analyze/0.4_0.2_0.4/au_122113.xlsx","au_122113")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HYPERLINK("./new_k5/query_cmdrels_weight_analyze/0.4_0.2_0.4/au_123798.xlsx","au_123798")</f>
        <v>au_123798</v>
      </c>
      <c r="B17">
        <v>0</v>
      </c>
      <c r="C17">
        <v>0</v>
      </c>
      <c r="D17">
        <v>5.5555555555555552E-2</v>
      </c>
      <c r="E17">
        <v>0.19444444444444439</v>
      </c>
      <c r="F17">
        <v>0.23888888888888879</v>
      </c>
      <c r="G17">
        <v>0.31944444444444442</v>
      </c>
    </row>
    <row r="18" spans="1:7" x14ac:dyDescent="0.15">
      <c r="A18" t="str">
        <f>HYPERLINK("./new_k5/query_cmdrels_weight_analyze/0.4_0.2_0.4/au_125257.xlsx","au_125257")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HYPERLINK("./new_k5/query_cmdrels_weight_analyze/0.4_0.2_0.4/au_126153.xlsx","au_126153")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0.33333333333333331</v>
      </c>
      <c r="F19">
        <v>0.45833333333333331</v>
      </c>
      <c r="G19">
        <v>0.45833333333333331</v>
      </c>
    </row>
    <row r="20" spans="1:7" x14ac:dyDescent="0.15">
      <c r="A20" t="str">
        <f>HYPERLINK("./new_k5/query_cmdrels_weight_analyze/0.4_0.2_0.4/au_127326.xlsx","au_127326")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HYPERLINK("./new_k5/query_cmdrels_weight_analyze/0.4_0.2_0.4/au_128463.xlsx","au_128463")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HYPERLINK("./new_k5/query_cmdrels_weight_analyze/0.4_0.2_0.4/au_130393.xlsx","au_130393")</f>
        <v>au_130393</v>
      </c>
      <c r="B22">
        <v>0</v>
      </c>
      <c r="C22">
        <v>0</v>
      </c>
      <c r="D22">
        <v>0.125</v>
      </c>
      <c r="E22">
        <v>0.125</v>
      </c>
      <c r="F22">
        <v>0.125</v>
      </c>
      <c r="G22">
        <v>0.25</v>
      </c>
    </row>
    <row r="23" spans="1:7" x14ac:dyDescent="0.15">
      <c r="A23" t="str">
        <f>HYPERLINK("./new_k5/query_cmdrels_weight_analyze/0.4_0.2_0.4/au_131570.xlsx","au_131570")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HYPERLINK("./new_k5/query_cmdrels_weight_analyze/0.4_0.2_0.4/au_133318.xlsx","au_133318")</f>
        <v>au_133318</v>
      </c>
      <c r="B24">
        <v>0</v>
      </c>
      <c r="C24">
        <v>0.25</v>
      </c>
      <c r="D24">
        <v>0</v>
      </c>
      <c r="E24">
        <v>0.25</v>
      </c>
      <c r="F24">
        <v>0</v>
      </c>
      <c r="G24">
        <v>0.35</v>
      </c>
    </row>
    <row r="25" spans="1:7" x14ac:dyDescent="0.15">
      <c r="A25" t="str">
        <f>HYPERLINK("./new_k5/query_cmdrels_weight_analyze/0.4_0.2_0.4/au_133343.xlsx","au_133343")</f>
        <v>au_133343</v>
      </c>
      <c r="B25">
        <v>0</v>
      </c>
      <c r="C25">
        <v>0</v>
      </c>
      <c r="D25">
        <v>0</v>
      </c>
      <c r="E25">
        <v>0.1111111111111111</v>
      </c>
      <c r="F25">
        <v>0</v>
      </c>
      <c r="G25">
        <v>0.27777777777777768</v>
      </c>
    </row>
    <row r="26" spans="1:7" x14ac:dyDescent="0.15">
      <c r="A26" t="str">
        <f>HYPERLINK("./new_k5/query_cmdrels_weight_analyze/0.4_0.2_0.4/au_133389.xlsx","au_133389")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HYPERLINK("./new_k5/query_cmdrels_weight_analyze/0.4_0.2_0.4/au_141277.xlsx","au_141277")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HYPERLINK("./new_k5/query_cmdrels_weight_analyze/0.4_0.2_0.4/au_143819.xlsx","au_143819")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HYPERLINK("./new_k5/query_cmdrels_weight_analyze/0.4_0.2_0.4/au_145935.xlsx","au_145935")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HYPERLINK("./new_k5/query_cmdrels_weight_analyze/0.4_0.2_0.4/au_147241.xlsx","au_147241")</f>
        <v>au_147241</v>
      </c>
      <c r="B30">
        <v>0</v>
      </c>
      <c r="C30">
        <v>0</v>
      </c>
      <c r="D30">
        <v>0.29166666666666657</v>
      </c>
      <c r="E30">
        <v>0.29166666666666657</v>
      </c>
      <c r="F30">
        <v>0.29166666666666657</v>
      </c>
      <c r="G30">
        <v>0.44166666666666671</v>
      </c>
    </row>
    <row r="31" spans="1:7" x14ac:dyDescent="0.15">
      <c r="A31" t="str">
        <f>HYPERLINK("./new_k5/query_cmdrels_weight_analyze/0.4_0.2_0.4/au_147800.xlsx","au_147800")</f>
        <v>au_147800</v>
      </c>
      <c r="B31">
        <v>0</v>
      </c>
      <c r="C31">
        <v>0</v>
      </c>
      <c r="D31">
        <v>0.1111111111111111</v>
      </c>
      <c r="E31">
        <v>0.16666666666666671</v>
      </c>
      <c r="F31">
        <v>0.1111111111111111</v>
      </c>
      <c r="G31">
        <v>0.16666666666666671</v>
      </c>
    </row>
    <row r="32" spans="1:7" x14ac:dyDescent="0.15">
      <c r="A32" t="str">
        <f>HYPERLINK("./new_k5/query_cmdrels_weight_analyze/0.4_0.2_0.4/au_148321.xlsx","au_148321")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0.40277777777777768</v>
      </c>
    </row>
    <row r="33" spans="1:7" x14ac:dyDescent="0.15">
      <c r="A33" t="str">
        <f>HYPERLINK("./new_k5/query_cmdrels_weight_analyze/0.4_0.2_0.4/au_148638.xlsx","au_148638")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HYPERLINK("./new_k5/query_cmdrels_weight_analyze/0.4_0.2_0.4/au_151049.xlsx","au_151049")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HYPERLINK("./new_k5/query_cmdrels_weight_analyze/0.4_0.2_0.4/au_151941.xlsx","au_151941")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HYPERLINK("./new_k5/query_cmdrels_weight_analyze/0.4_0.2_0.4/au_152297.xlsx","au_152297")</f>
        <v>au_152297</v>
      </c>
      <c r="B36">
        <v>0</v>
      </c>
      <c r="C36">
        <v>0</v>
      </c>
      <c r="D36">
        <v>7.1428571428571425E-2</v>
      </c>
      <c r="E36">
        <v>0.16666666666666671</v>
      </c>
      <c r="F36">
        <v>7.1428571428571425E-2</v>
      </c>
      <c r="G36">
        <v>0.27380952380952378</v>
      </c>
    </row>
    <row r="37" spans="1:7" x14ac:dyDescent="0.15">
      <c r="A37" t="str">
        <f>HYPERLINK("./new_k5/query_cmdrels_weight_analyze/0.4_0.2_0.4/au_153976.xlsx","au_153976")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0.16666666666666671</v>
      </c>
      <c r="F37">
        <v>0.33333333333333331</v>
      </c>
      <c r="G37">
        <v>0.25</v>
      </c>
    </row>
    <row r="38" spans="1:7" x14ac:dyDescent="0.15">
      <c r="A38" t="str">
        <f>HYPERLINK("./new_k5/query_cmdrels_weight_analyze/0.4_0.2_0.4/au_154431.xlsx","au_154431")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HYPERLINK("./new_k5/query_cmdrels_weight_analyze/0.4_0.2_0.4/au_159708.xlsx","au_159708")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0.33333333333333331</v>
      </c>
      <c r="F39">
        <v>0.33333333333333331</v>
      </c>
      <c r="G39">
        <v>0.33333333333333331</v>
      </c>
    </row>
    <row r="40" spans="1:7" x14ac:dyDescent="0.15">
      <c r="A40" t="str">
        <f>HYPERLINK("./new_k5/query_cmdrels_weight_analyze/0.4_0.2_0.4/au_160869.xlsx","au_160869")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HYPERLINK("./new_k5/query_cmdrels_weight_analyze/0.4_0.2_0.4/au_161313.xlsx","au_161313")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</v>
      </c>
    </row>
    <row r="42" spans="1:7" x14ac:dyDescent="0.15">
      <c r="A42" t="str">
        <f>HYPERLINK("./new_k5/query_cmdrels_weight_analyze/0.4_0.2_0.4/au_162075.xlsx","au_162075")</f>
        <v>au_162075</v>
      </c>
      <c r="B42">
        <v>0.25</v>
      </c>
      <c r="C42">
        <v>0.25</v>
      </c>
      <c r="D42">
        <v>0.5</v>
      </c>
      <c r="E42">
        <v>0.5</v>
      </c>
      <c r="F42">
        <v>0.5</v>
      </c>
      <c r="G42">
        <v>0.5</v>
      </c>
    </row>
    <row r="43" spans="1:7" x14ac:dyDescent="0.15">
      <c r="A43" t="str">
        <f>HYPERLINK("./new_k5/query_cmdrels_weight_analyze/0.4_0.2_0.4/au_16277.xlsx","au_16277")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0.66666666666666663</v>
      </c>
    </row>
    <row r="44" spans="1:7" x14ac:dyDescent="0.15">
      <c r="A44" t="str">
        <f>HYPERLINK("./new_k5/query_cmdrels_weight_analyze/0.4_0.2_0.4/au_163155.xlsx","au_163155")</f>
        <v>au_163155</v>
      </c>
      <c r="B44">
        <v>0.125</v>
      </c>
      <c r="C44">
        <v>0.125</v>
      </c>
      <c r="D44">
        <v>0.375</v>
      </c>
      <c r="E44">
        <v>0.375</v>
      </c>
      <c r="F44">
        <v>0.5</v>
      </c>
      <c r="G44">
        <v>0.47499999999999998</v>
      </c>
    </row>
    <row r="45" spans="1:7" x14ac:dyDescent="0.15">
      <c r="A45" t="str">
        <f>HYPERLINK("./new_k5/query_cmdrels_weight_analyze/0.4_0.2_0.4/au_164473.xlsx","au_164473")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HYPERLINK("./new_k5/query_cmdrels_weight_analyze/0.4_0.2_0.4/au_16584.xlsx","au_16584")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9.0909090909090912E-2</v>
      </c>
      <c r="F46">
        <v>0.13636363636363641</v>
      </c>
      <c r="G46">
        <v>9.0909090909090912E-2</v>
      </c>
    </row>
    <row r="47" spans="1:7" x14ac:dyDescent="0.15">
      <c r="A47" t="str">
        <f>HYPERLINK("./new_k5/query_cmdrels_weight_analyze/0.4_0.2_0.4/au_166420.xlsx","au_166420")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HYPERLINK("./new_k5/query_cmdrels_weight_analyze/0.4_0.2_0.4/au_169473.xlsx","au_169473")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0.16666666666666671</v>
      </c>
      <c r="F48">
        <v>0.43333333333333329</v>
      </c>
      <c r="G48">
        <v>0.35</v>
      </c>
    </row>
    <row r="49" spans="1:7" x14ac:dyDescent="0.15">
      <c r="A49" t="str">
        <f>HYPERLINK("./new_k5/query_cmdrels_weight_analyze/0.4_0.2_0.4/au_169516.xlsx","au_169516")</f>
        <v>au_169516</v>
      </c>
      <c r="B49">
        <v>0.25</v>
      </c>
      <c r="C49">
        <v>0</v>
      </c>
      <c r="D49">
        <v>0.25</v>
      </c>
      <c r="E49">
        <v>0.29166666666666657</v>
      </c>
      <c r="F49">
        <v>0.25</v>
      </c>
      <c r="G49">
        <v>0.29166666666666657</v>
      </c>
    </row>
    <row r="50" spans="1:7" x14ac:dyDescent="0.15">
      <c r="A50" t="str">
        <f>HYPERLINK("./new_k5/query_cmdrels_weight_analyze/0.4_0.2_0.4/au_174292.xlsx","au_174292")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HYPERLINK("./new_k5/query_cmdrels_weight_analyze/0.4_0.2_0.4/au_178481.xlsx","au_178481")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HYPERLINK("./new_k5/query_cmdrels_weight_analyze/0.4_0.2_0.4/au_180925.xlsx","au_180925")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HYPERLINK("./new_k5/query_cmdrels_weight_analyze/0.4_0.2_0.4/au_187888.xlsx","au_187888")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HYPERLINK("./new_k5/query_cmdrels_weight_analyze/0.4_0.2_0.4/au_191390.xlsx","au_191390")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HYPERLINK("./new_k5/query_cmdrels_weight_analyze/0.4_0.2_0.4/au_192798.xlsx","au_192798")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HYPERLINK("./new_k5/query_cmdrels_weight_analyze/0.4_0.2_0.4/au_201775.xlsx","au_201775")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0.55555555555555547</v>
      </c>
      <c r="F56">
        <v>0.66666666666666663</v>
      </c>
      <c r="G56">
        <v>0.75555555555555554</v>
      </c>
    </row>
    <row r="57" spans="1:7" x14ac:dyDescent="0.15">
      <c r="A57" t="str">
        <f>HYPERLINK("./new_k5/query_cmdrels_weight_analyze/0.4_0.2_0.4/au_204166.xlsx","au_204166")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HYPERLINK("./new_k5/query_cmdrels_weight_analyze/0.4_0.2_0.4/au_207447.xlsx","au_207447")</f>
        <v>au_207447</v>
      </c>
      <c r="B58">
        <v>0.33333333333333331</v>
      </c>
      <c r="C58">
        <v>0.33333333333333331</v>
      </c>
      <c r="D58">
        <v>0.33333333333333331</v>
      </c>
      <c r="E58">
        <v>0.33333333333333331</v>
      </c>
      <c r="F58">
        <v>0.33333333333333331</v>
      </c>
      <c r="G58">
        <v>0.46666666666666662</v>
      </c>
    </row>
    <row r="59" spans="1:7" x14ac:dyDescent="0.15">
      <c r="A59" t="str">
        <f>HYPERLINK("./new_k5/query_cmdrels_weight_analyze/0.4_0.2_0.4/au_210680.xlsx","au_210680")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HYPERLINK("./new_k5/query_cmdrels_weight_analyze/0.4_0.2_0.4/au_214246.xlsx","au_214246")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HYPERLINK("./new_k5/query_cmdrels_weight_analyze/0.4_0.2_0.4/au_214643.xlsx","au_214643")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HYPERLINK("./new_k5/query_cmdrels_weight_analyze/0.4_0.2_0.4/au_2194.xlsx","au_2194")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HYPERLINK("./new_k5/query_cmdrels_weight_analyze/0.4_0.2_0.4/au_221962.xlsx","au_221962")</f>
        <v>au_221962</v>
      </c>
      <c r="B63">
        <v>0</v>
      </c>
      <c r="C63">
        <v>0</v>
      </c>
      <c r="D63">
        <v>5.5555555555555552E-2</v>
      </c>
      <c r="E63">
        <v>8.3333333333333329E-2</v>
      </c>
      <c r="F63">
        <v>0.1388888888888889</v>
      </c>
      <c r="G63">
        <v>0.26666666666666672</v>
      </c>
    </row>
    <row r="64" spans="1:7" x14ac:dyDescent="0.15">
      <c r="A64" t="str">
        <f>HYPERLINK("./new_k5/query_cmdrels_weight_analyze/0.4_0.2_0.4/au_22608.xlsx","au_22608")</f>
        <v>au_22608</v>
      </c>
      <c r="B64">
        <v>0.33333333333333331</v>
      </c>
      <c r="C64">
        <v>0.33333333333333331</v>
      </c>
      <c r="D64">
        <v>0.33333333333333331</v>
      </c>
      <c r="E64">
        <v>0.33333333333333331</v>
      </c>
      <c r="F64">
        <v>0.33333333333333331</v>
      </c>
      <c r="G64">
        <v>0.5</v>
      </c>
    </row>
    <row r="65" spans="1:7" x14ac:dyDescent="0.15">
      <c r="A65" t="str">
        <f>HYPERLINK("./new_k5/query_cmdrels_weight_analyze/0.4_0.2_0.4/au_230698.xlsx","au_230698")</f>
        <v>au_230698</v>
      </c>
      <c r="B65">
        <v>0.125</v>
      </c>
      <c r="C65">
        <v>0.125</v>
      </c>
      <c r="D65">
        <v>0.25</v>
      </c>
      <c r="E65">
        <v>0.25</v>
      </c>
      <c r="F65">
        <v>0.32500000000000001</v>
      </c>
      <c r="G65">
        <v>0.34375</v>
      </c>
    </row>
    <row r="66" spans="1:7" x14ac:dyDescent="0.15">
      <c r="A66" t="str">
        <f>HYPERLINK("./new_k5/query_cmdrels_weight_analyze/0.4_0.2_0.4/au_232442.xlsx","au_232442")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HYPERLINK("./new_k5/query_cmdrels_weight_analyze/0.4_0.2_0.4/au_233378.xlsx","au_233378")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HYPERLINK("./new_k5/query_cmdrels_weight_analyze/0.4_0.2_0.4/au_24027.xlsx","au_24027")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HYPERLINK("./new_k5/query_cmdrels_weight_analyze/0.4_0.2_0.4/au_246647.xlsx","au_246647")</f>
        <v>au_246647</v>
      </c>
      <c r="B69">
        <v>0.125</v>
      </c>
      <c r="C69">
        <v>0.125</v>
      </c>
      <c r="D69">
        <v>0.375</v>
      </c>
      <c r="E69">
        <v>0.25</v>
      </c>
      <c r="F69">
        <v>0.47499999999999998</v>
      </c>
      <c r="G69">
        <v>0.32500000000000001</v>
      </c>
    </row>
    <row r="70" spans="1:7" x14ac:dyDescent="0.15">
      <c r="A70" t="str">
        <f>HYPERLINK("./new_k5/query_cmdrels_weight_analyze/0.4_0.2_0.4/au_254424.xlsx","au_254424")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HYPERLINK("./new_k5/query_cmdrels_weight_analyze/0.4_0.2_0.4/au_255890.xlsx","au_255890")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HYPERLINK("./new_k5/query_cmdrels_weight_analyze/0.4_0.2_0.4/au_257248.xlsx","au_257248")</f>
        <v>au_257248</v>
      </c>
      <c r="B72">
        <v>0</v>
      </c>
      <c r="C72">
        <v>0.14285714285714279</v>
      </c>
      <c r="D72">
        <v>0.16666666666666671</v>
      </c>
      <c r="E72">
        <v>0.23809523809523811</v>
      </c>
      <c r="F72">
        <v>0.25238095238095237</v>
      </c>
      <c r="G72">
        <v>0.32380952380952382</v>
      </c>
    </row>
    <row r="73" spans="1:7" x14ac:dyDescent="0.15">
      <c r="A73" t="str">
        <f>HYPERLINK("./new_k5/query_cmdrels_weight_analyze/0.4_0.2_0.4/au_259354.xlsx","au_259354")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0.42857142857142849</v>
      </c>
    </row>
    <row r="74" spans="1:7" x14ac:dyDescent="0.15">
      <c r="A74" t="str">
        <f>HYPERLINK("./new_k5/query_cmdrels_weight_analyze/0.4_0.2_0.4/au_263378.xlsx","au_263378")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0.625</v>
      </c>
    </row>
    <row r="75" spans="1:7" x14ac:dyDescent="0.15">
      <c r="A75" t="str">
        <f>HYPERLINK("./new_k5/query_cmdrels_weight_analyze/0.4_0.2_0.4/au_264215.xlsx","au_264215")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HYPERLINK("./new_k5/query_cmdrels_weight_analyze/0.4_0.2_0.4/au_265176.xlsx","au_265176")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HYPERLINK("./new_k5/query_cmdrels_weight_analyze/0.4_0.2_0.4/au_275704.xlsx","au_275704")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HYPERLINK("./new_k5/query_cmdrels_weight_analyze/0.4_0.2_0.4/au_276669.xlsx","au_276669")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HYPERLINK("./new_k5/query_cmdrels_weight_analyze/0.4_0.2_0.4/au_277565.xlsx","au_277565")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HYPERLINK("./new_k5/query_cmdrels_weight_analyze/0.4_0.2_0.4/au_278403.xlsx","au_278403")</f>
        <v>au_278403</v>
      </c>
      <c r="B80">
        <v>0</v>
      </c>
      <c r="C80">
        <v>0</v>
      </c>
      <c r="D80">
        <v>8.3333333333333329E-2</v>
      </c>
      <c r="E80">
        <v>8.3333333333333329E-2</v>
      </c>
      <c r="F80">
        <v>0.20833333333333329</v>
      </c>
      <c r="G80">
        <v>0.20833333333333329</v>
      </c>
    </row>
    <row r="81" spans="1:7" x14ac:dyDescent="0.15">
      <c r="A81" t="str">
        <f>HYPERLINK("./new_k5/query_cmdrels_weight_analyze/0.4_0.2_0.4/au_28039.xlsx","au_28039")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4.1666666666666657E-2</v>
      </c>
    </row>
    <row r="82" spans="1:7" x14ac:dyDescent="0.15">
      <c r="A82" t="str">
        <f>HYPERLINK("./new_k5/query_cmdrels_weight_analyze/0.4_0.2_0.4/au_281509.xlsx","au_281509")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HYPERLINK("./new_k5/query_cmdrels_weight_analyze/0.4_0.2_0.4/au_282806.xlsx","au_282806")</f>
        <v>au_282806</v>
      </c>
      <c r="B83">
        <v>0</v>
      </c>
      <c r="C83">
        <v>0.33333333333333331</v>
      </c>
      <c r="D83">
        <v>0.38888888888888878</v>
      </c>
      <c r="E83">
        <v>0.55555555555555547</v>
      </c>
      <c r="F83">
        <v>0.38888888888888878</v>
      </c>
      <c r="G83">
        <v>0.75555555555555554</v>
      </c>
    </row>
    <row r="84" spans="1:7" x14ac:dyDescent="0.15">
      <c r="A84" t="str">
        <f>HYPERLINK("./new_k5/query_cmdrels_weight_analyze/0.4_0.2_0.4/au_283559.xlsx","au_283559")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HYPERLINK("./new_k5/query_cmdrels_weight_analyze/0.4_0.2_0.4/au_285539.xlsx","au_285539")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HYPERLINK("./new_k5/query_cmdrels_weight_analyze/0.4_0.2_0.4/au_287532.xlsx","au_287532")</f>
        <v>au_287532</v>
      </c>
      <c r="B86">
        <v>0</v>
      </c>
      <c r="C86">
        <v>0</v>
      </c>
      <c r="D86">
        <v>0</v>
      </c>
      <c r="E86">
        <v>8.3333333333333329E-2</v>
      </c>
      <c r="F86">
        <v>0</v>
      </c>
      <c r="G86">
        <v>8.3333333333333329E-2</v>
      </c>
    </row>
    <row r="87" spans="1:7" x14ac:dyDescent="0.15">
      <c r="A87" t="str">
        <f>HYPERLINK("./new_k5/query_cmdrels_weight_analyze/0.4_0.2_0.4/au_294257.xlsx","au_294257")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HYPERLINK("./new_k5/query_cmdrels_weight_analyze/0.4_0.2_0.4/au_296155.xlsx","au_296155")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HYPERLINK("./new_k5/query_cmdrels_weight_analyze/0.4_0.2_0.4/au_299975.xlsx","au_299975")</f>
        <v>au_299975</v>
      </c>
      <c r="B89">
        <v>0.25</v>
      </c>
      <c r="C89">
        <v>0</v>
      </c>
      <c r="D89">
        <v>0.5</v>
      </c>
      <c r="E89">
        <v>8.3333333333333329E-2</v>
      </c>
      <c r="F89">
        <v>0.6875</v>
      </c>
      <c r="G89">
        <v>8.3333333333333329E-2</v>
      </c>
    </row>
    <row r="90" spans="1:7" x14ac:dyDescent="0.15">
      <c r="A90" t="str">
        <f>HYPERLINK("./new_k5/query_cmdrels_weight_analyze/0.4_0.2_0.4/au_301096.xlsx","au_301096")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HYPERLINK("./new_k5/query_cmdrels_weight_analyze/0.4_0.2_0.4/au_303593.xlsx","au_303593")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HYPERLINK("./new_k5/query_cmdrels_weight_analyze/0.4_0.2_0.4/au_303849.xlsx","au_303849")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HYPERLINK("./new_k5/query_cmdrels_weight_analyze/0.4_0.2_0.4/au_307541.xlsx","au_307541")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HYPERLINK("./new_k5/query_cmdrels_weight_analyze/0.4_0.2_0.4/au_307688.xlsx","au_307688")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HYPERLINK("./new_k5/query_cmdrels_weight_analyze/0.4_0.2_0.4/au_309047.xlsx","au_309047")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HYPERLINK("./new_k5/query_cmdrels_weight_analyze/0.4_0.2_0.4/au_311558.xlsx","au_311558")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0.56666666666666665</v>
      </c>
    </row>
    <row r="97" spans="1:7" x14ac:dyDescent="0.15">
      <c r="A97" t="str">
        <f>HYPERLINK("./new_k5/query_cmdrels_weight_analyze/0.4_0.2_0.4/au_318973.xlsx","au_318973")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HYPERLINK("./new_k5/query_cmdrels_weight_analyze/0.4_0.2_0.4/au_3205.xlsx","au_3205")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HYPERLINK("./new_k5/query_cmdrels_weight_analyze/0.4_0.2_0.4/au_323131.xlsx","au_323131")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HYPERLINK("./new_k5/query_cmdrels_weight_analyze/0.4_0.2_0.4/au_323392.xlsx","au_323392")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HYPERLINK("./new_k5/query_cmdrels_weight_analyze/0.4_0.2_0.4/au_325368.xlsx","au_325368")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HYPERLINK("./new_k5/query_cmdrels_weight_analyze/0.4_0.2_0.4/au_328162.xlsx","au_328162")</f>
        <v>au_328162</v>
      </c>
      <c r="B102">
        <v>0.33333333333333331</v>
      </c>
      <c r="C102">
        <v>0.33333333333333331</v>
      </c>
      <c r="D102">
        <v>1</v>
      </c>
      <c r="E102">
        <v>0.55555555555555547</v>
      </c>
      <c r="F102">
        <v>1</v>
      </c>
      <c r="G102">
        <v>0.75555555555555554</v>
      </c>
    </row>
    <row r="103" spans="1:7" x14ac:dyDescent="0.15">
      <c r="A103" t="str">
        <f>HYPERLINK("./new_k5/query_cmdrels_weight_analyze/0.4_0.2_0.4/au_330148.xlsx","au_330148")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HYPERLINK("./new_k5/query_cmdrels_weight_analyze/0.4_0.2_0.4/au_332315.xlsx","au_332315")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HYPERLINK("./new_k5/query_cmdrels_weight_analyze/0.4_0.2_0.4/au_334081.xlsx","au_334081")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HYPERLINK("./new_k5/query_cmdrels_weight_analyze/0.4_0.2_0.4/au_34077.xlsx","au_34077")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0.33333333333333331</v>
      </c>
      <c r="F106">
        <v>0.33333333333333331</v>
      </c>
      <c r="G106">
        <v>0.59166666666666667</v>
      </c>
    </row>
    <row r="107" spans="1:7" x14ac:dyDescent="0.15">
      <c r="A107" t="str">
        <f>HYPERLINK("./new_k5/query_cmdrels_weight_analyze/0.4_0.2_0.4/au_341428.xlsx","au_341428")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HYPERLINK("./new_k5/query_cmdrels_weight_analyze/0.4_0.2_0.4/au_341584.xlsx","au_341584")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HYPERLINK("./new_k5/query_cmdrels_weight_analyze/0.4_0.2_0.4/au_346864.xlsx","au_346864")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0.2857142857142857</v>
      </c>
      <c r="F109">
        <v>0.23809523809523811</v>
      </c>
      <c r="G109">
        <v>0.39285714285714279</v>
      </c>
    </row>
    <row r="110" spans="1:7" x14ac:dyDescent="0.15">
      <c r="A110" t="str">
        <f>HYPERLINK("./new_k5/query_cmdrels_weight_analyze/0.4_0.2_0.4/au_351765.xlsx","au_351765")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0.7</v>
      </c>
    </row>
    <row r="111" spans="1:7" x14ac:dyDescent="0.15">
      <c r="A111" t="str">
        <f>HYPERLINK("./new_k5/query_cmdrels_weight_analyze/0.4_0.2_0.4/au_35922.xlsx","au_35922")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HYPERLINK("./new_k5/query_cmdrels_weight_analyze/0.4_0.2_0.4/au_359856.xlsx","au_359856")</f>
        <v>au_359856</v>
      </c>
      <c r="B112">
        <v>0.25</v>
      </c>
      <c r="C112">
        <v>0.25</v>
      </c>
      <c r="D112">
        <v>0.75</v>
      </c>
      <c r="E112">
        <v>0.5</v>
      </c>
      <c r="F112">
        <v>0.95</v>
      </c>
      <c r="G112">
        <v>0.5</v>
      </c>
    </row>
    <row r="113" spans="1:7" x14ac:dyDescent="0.15">
      <c r="A113" t="str">
        <f>HYPERLINK("./new_k5/query_cmdrels_weight_analyze/0.4_0.2_0.4/au_360423.xlsx","au_360423")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HYPERLINK("./new_k5/query_cmdrels_weight_analyze/0.4_0.2_0.4/au_36287.xlsx","au_36287")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HYPERLINK("./new_k5/query_cmdrels_weight_analyze/0.4_0.2_0.4/au_366742.xlsx","au_366742")</f>
        <v>au_366742</v>
      </c>
      <c r="B115">
        <v>0</v>
      </c>
      <c r="C115">
        <v>0</v>
      </c>
      <c r="D115">
        <v>0</v>
      </c>
      <c r="E115">
        <v>8.3333333333333329E-2</v>
      </c>
      <c r="F115">
        <v>0</v>
      </c>
      <c r="G115">
        <v>0.20833333333333329</v>
      </c>
    </row>
    <row r="116" spans="1:7" x14ac:dyDescent="0.15">
      <c r="A116" t="str">
        <f>HYPERLINK("./new_k5/query_cmdrels_weight_analyze/0.4_0.2_0.4/au_377937.xlsx","au_377937")</f>
        <v>au_377937</v>
      </c>
      <c r="B116">
        <v>0.25</v>
      </c>
      <c r="C116">
        <v>0.25</v>
      </c>
      <c r="D116">
        <v>0.5</v>
      </c>
      <c r="E116">
        <v>0.75</v>
      </c>
      <c r="F116">
        <v>0.5</v>
      </c>
      <c r="G116">
        <v>0.75</v>
      </c>
    </row>
    <row r="117" spans="1:7" x14ac:dyDescent="0.15">
      <c r="A117" t="str">
        <f>HYPERLINK("./new_k5/query_cmdrels_weight_analyze/0.4_0.2_0.4/au_383997.xlsx","au_383997")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0.42857142857142849</v>
      </c>
      <c r="F117">
        <v>0.2857142857142857</v>
      </c>
      <c r="G117">
        <v>0.54285714285714282</v>
      </c>
    </row>
    <row r="118" spans="1:7" x14ac:dyDescent="0.15">
      <c r="A118" t="str">
        <f>HYPERLINK("./new_k5/query_cmdrels_weight_analyze/0.4_0.2_0.4/au_3883.xlsx","au_3883")</f>
        <v>au_3883</v>
      </c>
      <c r="B118">
        <v>0.25</v>
      </c>
      <c r="C118">
        <v>0.25</v>
      </c>
      <c r="D118">
        <v>0.25</v>
      </c>
      <c r="E118">
        <v>0.5</v>
      </c>
      <c r="F118">
        <v>0.375</v>
      </c>
      <c r="G118">
        <v>0.65</v>
      </c>
    </row>
    <row r="119" spans="1:7" x14ac:dyDescent="0.15">
      <c r="A119" t="str">
        <f>HYPERLINK("./new_k5/query_cmdrels_weight_analyze/0.4_0.2_0.4/au_396883.xlsx","au_396883")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HYPERLINK("./new_k5/query_cmdrels_weight_analyze/0.4_0.2_0.4/au_39760.xlsx","au_39760")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HYPERLINK("./new_k5/query_cmdrels_weight_analyze/0.4_0.2_0.4/au_398818.xlsx","au_398818")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HYPERLINK("./new_k5/query_cmdrels_weight_analyze/0.4_0.2_0.4/au_400807.xlsx","au_400807")</f>
        <v>au_400807</v>
      </c>
      <c r="B122">
        <v>0</v>
      </c>
      <c r="C122">
        <v>0.33333333333333331</v>
      </c>
      <c r="D122">
        <v>0.16666666666666671</v>
      </c>
      <c r="E122">
        <v>1</v>
      </c>
      <c r="F122">
        <v>0.16666666666666671</v>
      </c>
      <c r="G122">
        <v>1</v>
      </c>
    </row>
    <row r="123" spans="1:7" x14ac:dyDescent="0.15">
      <c r="A123" t="str">
        <f>HYPERLINK("./new_k5/query_cmdrels_weight_analyze/0.4_0.2_0.4/au_408611.xlsx","au_408611")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HYPERLINK("./new_k5/query_cmdrels_weight_analyze/0.4_0.2_0.4/au_414737.xlsx","au_414737")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HYPERLINK("./new_k5/query_cmdrels_weight_analyze/0.4_0.2_0.4/au_420722.xlsx","au_420722")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HYPERLINK("./new_k5/query_cmdrels_weight_analyze/0.4_0.2_0.4/au_423942.xlsx","au_423942")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HYPERLINK("./new_k5/query_cmdrels_weight_analyze/0.4_0.2_0.4/au_430382.xlsx","au_430382")</f>
        <v>au_430382</v>
      </c>
      <c r="B127">
        <v>0</v>
      </c>
      <c r="C127">
        <v>0.25</v>
      </c>
      <c r="D127">
        <v>0.29166666666666657</v>
      </c>
      <c r="E127">
        <v>0.41666666666666657</v>
      </c>
      <c r="F127">
        <v>0.29166666666666657</v>
      </c>
      <c r="G127">
        <v>0.41666666666666657</v>
      </c>
    </row>
    <row r="128" spans="1:7" x14ac:dyDescent="0.15">
      <c r="A128" t="str">
        <f>HYPERLINK("./new_k5/query_cmdrels_weight_analyze/0.4_0.2_0.4/au_432836.xlsx","au_432836")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HYPERLINK("./new_k5/query_cmdrels_weight_analyze/0.4_0.2_0.4/au_440326.xlsx","au_440326")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HYPERLINK("./new_k5/query_cmdrels_weight_analyze/0.4_0.2_0.4/au_442914.xlsx","au_442914")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HYPERLINK("./new_k5/query_cmdrels_weight_analyze/0.4_0.2_0.4/au_443227.xlsx","au_443227")</f>
        <v>au_443227</v>
      </c>
      <c r="B131">
        <v>0.5</v>
      </c>
      <c r="C131">
        <v>0</v>
      </c>
      <c r="D131">
        <v>0.5</v>
      </c>
      <c r="E131">
        <v>0</v>
      </c>
      <c r="F131">
        <v>0.5</v>
      </c>
      <c r="G131">
        <v>0</v>
      </c>
    </row>
    <row r="132" spans="1:7" x14ac:dyDescent="0.15">
      <c r="A132" t="str">
        <f>HYPERLINK("./new_k5/query_cmdrels_weight_analyze/0.4_0.2_0.4/au_44534.xlsx","au_44534")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HYPERLINK("./new_k5/query_cmdrels_weight_analyze/0.4_0.2_0.4/au_451805.xlsx","au_451805")</f>
        <v>au_451805</v>
      </c>
      <c r="B133">
        <v>0.33333333333333331</v>
      </c>
      <c r="C133">
        <v>0</v>
      </c>
      <c r="D133">
        <v>0.33333333333333331</v>
      </c>
      <c r="E133">
        <v>0.1111111111111111</v>
      </c>
      <c r="F133">
        <v>0.33333333333333331</v>
      </c>
      <c r="G133">
        <v>0.1111111111111111</v>
      </c>
    </row>
    <row r="134" spans="1:7" x14ac:dyDescent="0.15">
      <c r="A134" t="str">
        <f>HYPERLINK("./new_k5/query_cmdrels_weight_analyze/0.4_0.2_0.4/au_464264.xlsx","au_464264")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0.16666666666666671</v>
      </c>
    </row>
    <row r="135" spans="1:7" x14ac:dyDescent="0.15">
      <c r="A135" t="str">
        <f>HYPERLINK("./new_k5/query_cmdrels_weight_analyze/0.4_0.2_0.4/au_468808.xlsx","au_468808")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HYPERLINK("./new_k5/query_cmdrels_weight_analyze/0.4_0.2_0.4/au_469143.xlsx","au_469143")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HYPERLINK("./new_k5/query_cmdrels_weight_analyze/0.4_0.2_0.4/au_470237.xlsx","au_470237")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HYPERLINK("./new_k5/query_cmdrels_weight_analyze/0.4_0.2_0.4/au_473037.xlsx","au_473037")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</v>
      </c>
    </row>
    <row r="139" spans="1:7" x14ac:dyDescent="0.15">
      <c r="A139" t="str">
        <f>HYPERLINK("./new_k5/query_cmdrels_weight_analyze/0.4_0.2_0.4/au_48362.xlsx","au_48362")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HYPERLINK("./new_k5/query_cmdrels_weight_analyze/0.4_0.2_0.4/au_488435.xlsx","au_488435")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HYPERLINK("./new_k5/query_cmdrels_weight_analyze/0.4_0.2_0.4/au_493826.xlsx","au_493826")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HYPERLINK("./new_k5/query_cmdrels_weight_analyze/0.4_0.2_0.4/au_502110.xlsx","au_502110")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HYPERLINK("./new_k5/query_cmdrels_weight_analyze/0.4_0.2_0.4/au_50344.xlsx","au_50344")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HYPERLINK("./new_k5/query_cmdrels_weight_analyze/0.4_0.2_0.4/au_511467.xlsx","au_511467")</f>
        <v>au_511467</v>
      </c>
      <c r="B144">
        <v>0</v>
      </c>
      <c r="C144">
        <v>0.16666666666666671</v>
      </c>
      <c r="D144">
        <v>0.19444444444444439</v>
      </c>
      <c r="E144">
        <v>0.27777777777777768</v>
      </c>
      <c r="F144">
        <v>0.19444444444444439</v>
      </c>
      <c r="G144">
        <v>0.27777777777777768</v>
      </c>
    </row>
    <row r="145" spans="1:7" x14ac:dyDescent="0.15">
      <c r="A145" t="str">
        <f>HYPERLINK("./new_k5/query_cmdrels_weight_analyze/0.4_0.2_0.4/au_513046.xlsx","au_513046")</f>
        <v>au_513046</v>
      </c>
      <c r="B145">
        <v>0.25</v>
      </c>
      <c r="C145">
        <v>0</v>
      </c>
      <c r="D145">
        <v>0.5</v>
      </c>
      <c r="E145">
        <v>0.29166666666666657</v>
      </c>
      <c r="F145">
        <v>0.5</v>
      </c>
      <c r="G145">
        <v>0.29166666666666657</v>
      </c>
    </row>
    <row r="146" spans="1:7" x14ac:dyDescent="0.15">
      <c r="A146" t="str">
        <f>HYPERLINK("./new_k5/query_cmdrels_weight_analyze/0.4_0.2_0.4/au_517354.xlsx","au_517354")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0.2857142857142857</v>
      </c>
      <c r="F146">
        <v>0.2142857142857143</v>
      </c>
      <c r="G146">
        <v>0.39285714285714279</v>
      </c>
    </row>
    <row r="147" spans="1:7" x14ac:dyDescent="0.15">
      <c r="A147" t="str">
        <f>HYPERLINK("./new_k5/query_cmdrels_weight_analyze/0.4_0.2_0.4/au_522431.xlsx","au_522431")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0.3833333333333333</v>
      </c>
    </row>
    <row r="148" spans="1:7" x14ac:dyDescent="0.15">
      <c r="A148" t="str">
        <f>HYPERLINK("./new_k5/query_cmdrels_weight_analyze/0.4_0.2_0.4/au_52773.xlsx","au_52773")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0.04</v>
      </c>
    </row>
    <row r="149" spans="1:7" x14ac:dyDescent="0.15">
      <c r="A149" t="str">
        <f>HYPERLINK("./new_k5/query_cmdrels_weight_analyze/0.4_0.2_0.4/au_528411.xlsx","au_528411")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HYPERLINK("./new_k5/query_cmdrels_weight_analyze/0.4_0.2_0.4/au_53263.xlsx","au_53263")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1</v>
      </c>
    </row>
    <row r="151" spans="1:7" x14ac:dyDescent="0.15">
      <c r="A151" t="str">
        <f>HYPERLINK("./new_k5/query_cmdrels_weight_analyze/0.4_0.2_0.4/au_53444.xlsx","au_53444")</f>
        <v>au_53444</v>
      </c>
      <c r="B151">
        <v>0.5</v>
      </c>
      <c r="C151">
        <v>0</v>
      </c>
      <c r="D151">
        <v>0.5</v>
      </c>
      <c r="E151">
        <v>0</v>
      </c>
      <c r="F151">
        <v>0.5</v>
      </c>
      <c r="G151">
        <v>0</v>
      </c>
    </row>
    <row r="152" spans="1:7" x14ac:dyDescent="0.15">
      <c r="A152" t="str">
        <f>HYPERLINK("./new_k5/query_cmdrels_weight_analyze/0.4_0.2_0.4/au_538208.xlsx","au_538208")</f>
        <v>au_538208</v>
      </c>
      <c r="B152">
        <v>0.125</v>
      </c>
      <c r="C152">
        <v>0.125</v>
      </c>
      <c r="D152">
        <v>0.375</v>
      </c>
      <c r="E152">
        <v>0.25</v>
      </c>
      <c r="F152">
        <v>0.5</v>
      </c>
      <c r="G152">
        <v>0.44374999999999998</v>
      </c>
    </row>
    <row r="153" spans="1:7" x14ac:dyDescent="0.15">
      <c r="A153" t="str">
        <f>HYPERLINK("./new_k5/query_cmdrels_weight_analyze/0.4_0.2_0.4/au_53822.xlsx","au_53822")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HYPERLINK("./new_k5/query_cmdrels_weight_analyze/0.4_0.2_0.4/au_539243.xlsx","au_539243")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0.33333333333333331</v>
      </c>
    </row>
    <row r="155" spans="1:7" x14ac:dyDescent="0.15">
      <c r="A155" t="str">
        <f>HYPERLINK("./new_k5/query_cmdrels_weight_analyze/0.4_0.2_0.4/au_558280.xlsx","au_558280")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HYPERLINK("./new_k5/query_cmdrels_weight_analyze/0.4_0.2_0.4/au_558669.xlsx","au_558669")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HYPERLINK("./new_k5/query_cmdrels_weight_analyze/0.4_0.2_0.4/au_55868.xlsx","au_55868")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HYPERLINK("./new_k5/query_cmdrels_weight_analyze/0.4_0.2_0.4/au_561.xlsx","au_561")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0.5</v>
      </c>
    </row>
    <row r="159" spans="1:7" x14ac:dyDescent="0.15">
      <c r="A159" t="str">
        <f>HYPERLINK("./new_k5/query_cmdrels_weight_analyze/0.4_0.2_0.4/au_564567.xlsx","au_564567")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HYPERLINK("./new_k5/query_cmdrels_weight_analyze/0.4_0.2_0.4/au_57994.xlsx","au_57994")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0.54285714285714282</v>
      </c>
    </row>
    <row r="161" spans="1:7" x14ac:dyDescent="0.15">
      <c r="A161" t="str">
        <f>HYPERLINK("./new_k5/query_cmdrels_weight_analyze/0.4_0.2_0.4/au_589210.xlsx","au_589210")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0.375</v>
      </c>
    </row>
    <row r="162" spans="1:7" x14ac:dyDescent="0.15">
      <c r="A162" t="str">
        <f>HYPERLINK("./new_k5/query_cmdrels_weight_analyze/0.4_0.2_0.4/au_5911.xlsx","au_5911")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HYPERLINK("./new_k5/query_cmdrels_weight_analyze/0.4_0.2_0.4/au_59356.xlsx","au_59356")</f>
        <v>au_59356</v>
      </c>
      <c r="B163">
        <v>0</v>
      </c>
      <c r="C163">
        <v>0</v>
      </c>
      <c r="D163">
        <v>0.16666666666666671</v>
      </c>
      <c r="E163">
        <v>0.16666666666666671</v>
      </c>
      <c r="F163">
        <v>0.16666666666666671</v>
      </c>
      <c r="G163">
        <v>0.16666666666666671</v>
      </c>
    </row>
    <row r="164" spans="1:7" x14ac:dyDescent="0.15">
      <c r="A164" t="str">
        <f>HYPERLINK("./new_k5/query_cmdrels_weight_analyze/0.4_0.2_0.4/au_609850.xlsx","au_609850")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HYPERLINK("./new_k5/query_cmdrels_weight_analyze/0.4_0.2_0.4/au_61408.xlsx","au_61408")</f>
        <v>au_61408</v>
      </c>
      <c r="B165">
        <v>0</v>
      </c>
      <c r="C165">
        <v>0.33333333333333331</v>
      </c>
      <c r="D165">
        <v>0.16666666666666671</v>
      </c>
      <c r="E165">
        <v>0.55555555555555547</v>
      </c>
      <c r="F165">
        <v>0.16666666666666671</v>
      </c>
      <c r="G165">
        <v>0.55555555555555547</v>
      </c>
    </row>
    <row r="166" spans="1:7" x14ac:dyDescent="0.15">
      <c r="A166" t="str">
        <f>HYPERLINK("./new_k5/query_cmdrels_weight_analyze/0.4_0.2_0.4/au_617850.xlsx","au_617850")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HYPERLINK("./new_k5/query_cmdrels_weight_analyze/0.4_0.2_0.4/au_62073.xlsx","au_62073")</f>
        <v>au_62073</v>
      </c>
      <c r="B167">
        <v>0</v>
      </c>
      <c r="C167">
        <v>0.2</v>
      </c>
      <c r="D167">
        <v>0.23333333333333331</v>
      </c>
      <c r="E167">
        <v>0.4</v>
      </c>
      <c r="F167">
        <v>0.23333333333333331</v>
      </c>
      <c r="G167">
        <v>0.71</v>
      </c>
    </row>
    <row r="168" spans="1:7" x14ac:dyDescent="0.15">
      <c r="A168" t="str">
        <f>HYPERLINK("./new_k5/query_cmdrels_weight_analyze/0.4_0.2_0.4/au_620930.xlsx","au_620930")</f>
        <v>au_620930</v>
      </c>
      <c r="B168">
        <v>0.2</v>
      </c>
      <c r="C168">
        <v>0.2</v>
      </c>
      <c r="D168">
        <v>0.4</v>
      </c>
      <c r="E168">
        <v>0.4</v>
      </c>
      <c r="F168">
        <v>0.4</v>
      </c>
      <c r="G168">
        <v>0.55000000000000004</v>
      </c>
    </row>
    <row r="169" spans="1:7" x14ac:dyDescent="0.15">
      <c r="A169" t="str">
        <f>HYPERLINK("./new_k5/query_cmdrels_weight_analyze/0.4_0.2_0.4/au_62492.xlsx","au_62492")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HYPERLINK("./new_k5/query_cmdrels_weight_analyze/0.4_0.2_0.4/au_626078.xlsx","au_626078")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HYPERLINK("./new_k5/query_cmdrels_weight_analyze/0.4_0.2_0.4/au_636944.xlsx","au_636944")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HYPERLINK("./new_k5/query_cmdrels_weight_analyze/0.4_0.2_0.4/au_648603.xlsx","au_648603")</f>
        <v>au_648603</v>
      </c>
      <c r="B172">
        <v>0.25</v>
      </c>
      <c r="C172">
        <v>0.25</v>
      </c>
      <c r="D172">
        <v>0.25</v>
      </c>
      <c r="E172">
        <v>0.41666666666666657</v>
      </c>
      <c r="F172">
        <v>0.25</v>
      </c>
      <c r="G172">
        <v>0.56666666666666665</v>
      </c>
    </row>
    <row r="173" spans="1:7" x14ac:dyDescent="0.15">
      <c r="A173" t="str">
        <f>HYPERLINK("./new_k5/query_cmdrels_weight_analyze/0.4_0.2_0.4/au_65331.xlsx","au_65331")</f>
        <v>au_65331</v>
      </c>
      <c r="B173">
        <v>0</v>
      </c>
      <c r="C173">
        <v>0.16666666666666671</v>
      </c>
      <c r="D173">
        <v>8.3333333333333329E-2</v>
      </c>
      <c r="E173">
        <v>0.33333333333333331</v>
      </c>
      <c r="F173">
        <v>0.16666666666666671</v>
      </c>
      <c r="G173">
        <v>0.45833333333333331</v>
      </c>
    </row>
    <row r="174" spans="1:7" x14ac:dyDescent="0.15">
      <c r="A174" t="str">
        <f>HYPERLINK("./new_k5/query_cmdrels_weight_analyze/0.4_0.2_0.4/au_66000.xlsx","au_66000")</f>
        <v>au_66000</v>
      </c>
      <c r="B174">
        <v>0</v>
      </c>
      <c r="C174">
        <v>0.2</v>
      </c>
      <c r="D174">
        <v>0</v>
      </c>
      <c r="E174">
        <v>0.33333333333333331</v>
      </c>
      <c r="F174">
        <v>0</v>
      </c>
      <c r="G174">
        <v>0.64333333333333331</v>
      </c>
    </row>
    <row r="175" spans="1:7" x14ac:dyDescent="0.15">
      <c r="A175" t="str">
        <f>HYPERLINK("./new_k5/query_cmdrels_weight_analyze/0.4_0.2_0.4/au_660846.xlsx","au_660846")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HYPERLINK("./new_k5/query_cmdrels_weight_analyze/0.4_0.2_0.4/au_662935.xlsx","au_662935")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0.25</v>
      </c>
    </row>
    <row r="177" spans="1:7" x14ac:dyDescent="0.15">
      <c r="A177" t="str">
        <f>HYPERLINK("./new_k5/query_cmdrels_weight_analyze/0.4_0.2_0.4/au_67663.xlsx","au_67663")</f>
        <v>au_67663</v>
      </c>
      <c r="B177">
        <v>0</v>
      </c>
      <c r="C177">
        <v>0.25</v>
      </c>
      <c r="D177">
        <v>0.29166666666666657</v>
      </c>
      <c r="E177">
        <v>0.75</v>
      </c>
      <c r="F177">
        <v>0.29166666666666657</v>
      </c>
      <c r="G177">
        <v>0.75</v>
      </c>
    </row>
    <row r="178" spans="1:7" x14ac:dyDescent="0.15">
      <c r="A178" t="str">
        <f>HYPERLINK("./new_k5/query_cmdrels_weight_analyze/0.4_0.2_0.4/au_68028.xlsx","au_68028")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0.2857142857142857</v>
      </c>
      <c r="F178">
        <v>0.37142857142857139</v>
      </c>
      <c r="G178">
        <v>0.2857142857142857</v>
      </c>
    </row>
    <row r="179" spans="1:7" x14ac:dyDescent="0.15">
      <c r="A179" t="str">
        <f>HYPERLINK("./new_k5/query_cmdrels_weight_analyze/0.4_0.2_0.4/au_681312.xlsx","au_681312")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0.42857142857142849</v>
      </c>
      <c r="F179">
        <v>0.42857142857142849</v>
      </c>
      <c r="G179">
        <v>0.5714285714285714</v>
      </c>
    </row>
    <row r="180" spans="1:7" x14ac:dyDescent="0.15">
      <c r="A180" t="str">
        <f>HYPERLINK("./new_k5/query_cmdrels_weight_analyze/0.4_0.2_0.4/au_686239.xlsx","au_686239")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HYPERLINK("./new_k5/query_cmdrels_weight_analyze/0.4_0.2_0.4/au_68809.xlsx","au_68809")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0.20833333333333329</v>
      </c>
    </row>
    <row r="182" spans="1:7" x14ac:dyDescent="0.15">
      <c r="A182" t="str">
        <f>HYPERLINK("./new_k5/query_cmdrels_weight_analyze/0.4_0.2_0.4/au_69556.xlsx","au_69556")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HYPERLINK("./new_k5/query_cmdrels_weight_analyze/0.4_0.2_0.4/au_698993.xlsx","au_698993")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HYPERLINK("./new_k5/query_cmdrels_weight_analyze/0.4_0.2_0.4/au_707881.xlsx","au_707881")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HYPERLINK("./new_k5/query_cmdrels_weight_analyze/0.4_0.2_0.4/au_709594.xlsx","au_709594")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HYPERLINK("./new_k5/query_cmdrels_weight_analyze/0.4_0.2_0.4/au_71309.xlsx","au_71309")</f>
        <v>au_71309</v>
      </c>
      <c r="B186">
        <v>0.125</v>
      </c>
      <c r="C186">
        <v>0</v>
      </c>
      <c r="D186">
        <v>0.20833333333333329</v>
      </c>
      <c r="E186">
        <v>0.14583333333333329</v>
      </c>
      <c r="F186">
        <v>0.20833333333333329</v>
      </c>
      <c r="G186">
        <v>0.23958333333333329</v>
      </c>
    </row>
    <row r="187" spans="1:7" x14ac:dyDescent="0.15">
      <c r="A187" t="str">
        <f>HYPERLINK("./new_k5/query_cmdrels_weight_analyze/0.4_0.2_0.4/au_7138.xlsx","au_7138")</f>
        <v>au_7138</v>
      </c>
      <c r="B187">
        <v>0.25</v>
      </c>
      <c r="C187">
        <v>0</v>
      </c>
      <c r="D187">
        <v>0.75</v>
      </c>
      <c r="E187">
        <v>8.3333333333333329E-2</v>
      </c>
      <c r="F187">
        <v>0.75</v>
      </c>
      <c r="G187">
        <v>0.20833333333333329</v>
      </c>
    </row>
    <row r="188" spans="1:7" x14ac:dyDescent="0.15">
      <c r="A188" t="str">
        <f>HYPERLINK("./new_k5/query_cmdrels_weight_analyze/0.4_0.2_0.4/au_72549.xlsx","au_72549")</f>
        <v>au_72549</v>
      </c>
      <c r="B188">
        <v>0</v>
      </c>
      <c r="C188">
        <v>0</v>
      </c>
      <c r="D188">
        <v>0</v>
      </c>
      <c r="E188">
        <v>8.3333333333333329E-2</v>
      </c>
      <c r="F188">
        <v>0</v>
      </c>
      <c r="G188">
        <v>8.3333333333333329E-2</v>
      </c>
    </row>
    <row r="189" spans="1:7" x14ac:dyDescent="0.15">
      <c r="A189" t="str">
        <f>HYPERLINK("./new_k5/query_cmdrels_weight_analyze/0.4_0.2_0.4/au_740805.xlsx","au_740805")</f>
        <v>au_740805</v>
      </c>
      <c r="B189">
        <v>0.25</v>
      </c>
      <c r="C189">
        <v>0</v>
      </c>
      <c r="D189">
        <v>0.41666666666666657</v>
      </c>
      <c r="E189">
        <v>0.29166666666666657</v>
      </c>
      <c r="F189">
        <v>0.41666666666666657</v>
      </c>
      <c r="G189">
        <v>0.29166666666666657</v>
      </c>
    </row>
    <row r="190" spans="1:7" x14ac:dyDescent="0.15">
      <c r="A190" t="str">
        <f>HYPERLINK("./new_k5/query_cmdrels_weight_analyze/0.4_0.2_0.4/au_760796.xlsx","au_760796")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0.4</v>
      </c>
    </row>
    <row r="191" spans="1:7" x14ac:dyDescent="0.15">
      <c r="A191" t="str">
        <f>HYPERLINK("./new_k5/query_cmdrels_weight_analyze/0.4_0.2_0.4/au_762846.xlsx","au_762846")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0.43333333333333329</v>
      </c>
    </row>
    <row r="192" spans="1:7" x14ac:dyDescent="0.15">
      <c r="A192" t="str">
        <f>HYPERLINK("./new_k5/query_cmdrels_weight_analyze/0.4_0.2_0.4/au_767786.xlsx","au_767786")</f>
        <v>au_767786</v>
      </c>
      <c r="B192">
        <v>0.2</v>
      </c>
      <c r="C192">
        <v>0.2</v>
      </c>
      <c r="D192">
        <v>0.4</v>
      </c>
      <c r="E192">
        <v>0.4</v>
      </c>
      <c r="F192">
        <v>0.4</v>
      </c>
      <c r="G192">
        <v>0.52</v>
      </c>
    </row>
    <row r="193" spans="1:7" x14ac:dyDescent="0.15">
      <c r="A193" t="str">
        <f>HYPERLINK("./new_k5/query_cmdrels_weight_analyze/0.4_0.2_0.4/au_778906.xlsx","au_778906")</f>
        <v>au_778906</v>
      </c>
      <c r="B193">
        <v>0.2</v>
      </c>
      <c r="C193">
        <v>0.2</v>
      </c>
      <c r="D193">
        <v>0.33333333333333331</v>
      </c>
      <c r="E193">
        <v>0.33333333333333331</v>
      </c>
      <c r="F193">
        <v>0.33333333333333331</v>
      </c>
      <c r="G193">
        <v>0.48333333333333328</v>
      </c>
    </row>
    <row r="194" spans="1:7" x14ac:dyDescent="0.15">
      <c r="A194" t="str">
        <f>HYPERLINK("./new_k5/query_cmdrels_weight_analyze/0.4_0.2_0.4/au_818929.xlsx","au_818929")</f>
        <v>au_818929</v>
      </c>
      <c r="B194">
        <v>0</v>
      </c>
      <c r="C194">
        <v>0.2</v>
      </c>
      <c r="D194">
        <v>0</v>
      </c>
      <c r="E194">
        <v>0.33333333333333331</v>
      </c>
      <c r="F194">
        <v>0</v>
      </c>
      <c r="G194">
        <v>0.33333333333333331</v>
      </c>
    </row>
    <row r="195" spans="1:7" x14ac:dyDescent="0.15">
      <c r="A195" t="str">
        <f>HYPERLINK("./new_k5/query_cmdrels_weight_analyze/0.4_0.2_0.4/au_844876.xlsx","au_844876")</f>
        <v>au_844876</v>
      </c>
      <c r="B195">
        <v>0.5</v>
      </c>
      <c r="C195">
        <v>0.5</v>
      </c>
      <c r="D195">
        <v>0.5</v>
      </c>
      <c r="E195">
        <v>1</v>
      </c>
      <c r="F195">
        <v>0.5</v>
      </c>
      <c r="G195">
        <v>1</v>
      </c>
    </row>
    <row r="196" spans="1:7" x14ac:dyDescent="0.15">
      <c r="A196" t="str">
        <f>HYPERLINK("./new_k5/query_cmdrels_weight_analyze/0.4_0.2_0.4/au_85318.xlsx","au_85318")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0.55000000000000004</v>
      </c>
    </row>
    <row r="197" spans="1:7" x14ac:dyDescent="0.15">
      <c r="A197" t="str">
        <f>HYPERLINK("./new_k5/query_cmdrels_weight_analyze/0.4_0.2_0.4/au_854332.xlsx","au_854332")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HYPERLINK("./new_k5/query_cmdrels_weight_analyze/0.4_0.2_0.4/au_854373.xlsx","au_854373")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HYPERLINK("./new_k5/query_cmdrels_weight_analyze/0.4_0.2_0.4/au_86843.xlsx","au_86843")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HYPERLINK("./new_k5/query_cmdrels_weight_analyze/0.4_0.2_0.4/au_88108.xlsx","au_88108")</f>
        <v>au_88108</v>
      </c>
      <c r="B200">
        <v>0</v>
      </c>
      <c r="C200">
        <v>0</v>
      </c>
      <c r="D200">
        <v>0.1</v>
      </c>
      <c r="E200">
        <v>0.1</v>
      </c>
      <c r="F200">
        <v>0.1</v>
      </c>
      <c r="G200">
        <v>0.18</v>
      </c>
    </row>
    <row r="201" spans="1:7" x14ac:dyDescent="0.15">
      <c r="A201" t="str">
        <f>HYPERLINK("./new_k5/query_cmdrels_weight_analyze/0.4_0.2_0.4/au_90214.xlsx","au_90214")</f>
        <v>au_90214</v>
      </c>
      <c r="B201">
        <v>0</v>
      </c>
      <c r="C201">
        <v>0</v>
      </c>
      <c r="D201">
        <v>0.16666666666666671</v>
      </c>
      <c r="E201">
        <v>0.1111111111111111</v>
      </c>
      <c r="F201">
        <v>0.16666666666666671</v>
      </c>
      <c r="G201">
        <v>0.1111111111111111</v>
      </c>
    </row>
    <row r="202" spans="1:7" x14ac:dyDescent="0.15">
      <c r="A202" t="str">
        <f>HYPERLINK("./new_k5/query_cmdrels_weight_analyze/0.4_0.2_0.4/au_90339.xlsx","au_90339")</f>
        <v>au_90339</v>
      </c>
      <c r="B202">
        <v>0</v>
      </c>
      <c r="C202">
        <v>0</v>
      </c>
      <c r="D202">
        <v>4.7619047619047623E-2</v>
      </c>
      <c r="E202">
        <v>0.16666666666666671</v>
      </c>
      <c r="F202">
        <v>0.2047619047619047</v>
      </c>
      <c r="G202">
        <v>0.16666666666666671</v>
      </c>
    </row>
    <row r="203" spans="1:7" x14ac:dyDescent="0.15">
      <c r="A203" t="str">
        <f>HYPERLINK("./new_k5/query_cmdrels_weight_analyze/0.4_0.2_0.4/au_91286.xlsx","au_91286")</f>
        <v>au_91286</v>
      </c>
      <c r="B203">
        <v>0.5</v>
      </c>
      <c r="C203">
        <v>0</v>
      </c>
      <c r="D203">
        <v>0.5</v>
      </c>
      <c r="E203">
        <v>0.16666666666666671</v>
      </c>
      <c r="F203">
        <v>0.5</v>
      </c>
      <c r="G203">
        <v>0.16666666666666671</v>
      </c>
    </row>
    <row r="204" spans="1:7" x14ac:dyDescent="0.15">
      <c r="A204" t="str">
        <f>HYPERLINK("./new_k5/query_cmdrels_weight_analyze/0.4_0.2_0.4/au_9135.xlsx","au_9135")</f>
        <v>au_9135</v>
      </c>
      <c r="B204">
        <v>0.1</v>
      </c>
      <c r="C204">
        <v>0</v>
      </c>
      <c r="D204">
        <v>0.16666666666666671</v>
      </c>
      <c r="E204">
        <v>0.1166666666666667</v>
      </c>
      <c r="F204">
        <v>0.24166666666666661</v>
      </c>
      <c r="G204">
        <v>0.19166666666666671</v>
      </c>
    </row>
    <row r="205" spans="1:7" x14ac:dyDescent="0.15">
      <c r="A205" t="str">
        <f>HYPERLINK("./new_k5/query_cmdrels_weight_analyze/0.4_0.2_0.4/au_935569.xlsx","au_935569")</f>
        <v>au_935569</v>
      </c>
      <c r="B205">
        <v>0.14285714285714279</v>
      </c>
      <c r="C205">
        <v>0.14285714285714279</v>
      </c>
      <c r="D205">
        <v>0.42857142857142849</v>
      </c>
      <c r="E205">
        <v>0.2857142857142857</v>
      </c>
      <c r="F205">
        <v>0.54285714285714282</v>
      </c>
      <c r="G205">
        <v>0.2857142857142857</v>
      </c>
    </row>
    <row r="206" spans="1:7" x14ac:dyDescent="0.15">
      <c r="A206" t="str">
        <f>HYPERLINK("./new_k5/query_cmdrels_weight_analyze/0.4_0.2_0.4/au_97936.xlsx","au_97936")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HYPERLINK("./new_k5/query_cmdrels_weight_analyze/0.4_0.2_0.4/so_10235778.xlsx","so_10235778")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HYPERLINK("./new_k5/query_cmdrels_weight_analyze/0.4_0.2_0.4/so_1045910.xlsx","so_1045910")</f>
        <v>so_1045910</v>
      </c>
      <c r="B208">
        <v>0.25</v>
      </c>
      <c r="C208">
        <v>0</v>
      </c>
      <c r="D208">
        <v>0.25</v>
      </c>
      <c r="E208">
        <v>0.29166666666666657</v>
      </c>
      <c r="F208">
        <v>0.25</v>
      </c>
      <c r="G208">
        <v>0.29166666666666657</v>
      </c>
    </row>
    <row r="209" spans="1:7" x14ac:dyDescent="0.15">
      <c r="A209" t="str">
        <f>HYPERLINK("./new_k5/query_cmdrels_weight_analyze/0.4_0.2_0.4/so_10557360.xlsx","so_10557360")</f>
        <v>so_10557360</v>
      </c>
      <c r="B209">
        <v>0</v>
      </c>
      <c r="C209">
        <v>0</v>
      </c>
      <c r="D209">
        <v>0</v>
      </c>
      <c r="E209">
        <v>6.6666666666666666E-2</v>
      </c>
      <c r="F209">
        <v>0</v>
      </c>
      <c r="G209">
        <v>6.6666666666666666E-2</v>
      </c>
    </row>
    <row r="210" spans="1:7" x14ac:dyDescent="0.15">
      <c r="A210" t="str">
        <f>HYPERLINK("./new_k5/query_cmdrels_weight_analyze/0.4_0.2_0.4/so_1058047.xlsx","so_1058047")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0.35</v>
      </c>
    </row>
    <row r="211" spans="1:7" x14ac:dyDescent="0.15">
      <c r="A211" t="str">
        <f>HYPERLINK("./new_k5/query_cmdrels_weight_analyze/0.4_0.2_0.4/so_10829402.xlsx","so_10829402")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HYPERLINK("./new_k5/query_cmdrels_weight_analyze/0.4_0.2_0.4/so_1088098.xlsx","so_1088098")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0.25</v>
      </c>
    </row>
    <row r="213" spans="1:7" x14ac:dyDescent="0.15">
      <c r="A213" t="str">
        <f>HYPERLINK("./new_k5/query_cmdrels_weight_analyze/0.4_0.2_0.4/so_10990949.xlsx","so_10990949")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0.75</v>
      </c>
    </row>
    <row r="214" spans="1:7" x14ac:dyDescent="0.15">
      <c r="A214" t="str">
        <f>HYPERLINK("./new_k5/query_cmdrels_weight_analyze/0.4_0.2_0.4/so_11211705.xlsx","so_11211705")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HYPERLINK("./new_k5/query_cmdrels_weight_analyze/0.4_0.2_0.4/so_112932.xlsx","so_112932")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HYPERLINK("./new_k5/query_cmdrels_weight_analyze/0.4_0.2_0.4/so_11392189.xlsx","so_11392189")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8.3333333333333329E-2</v>
      </c>
    </row>
    <row r="217" spans="1:7" x14ac:dyDescent="0.15">
      <c r="A217" t="str">
        <f>HYPERLINK("./new_k5/query_cmdrels_weight_analyze/0.4_0.2_0.4/so_1183183.xlsx","so_1183183")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0.25</v>
      </c>
    </row>
    <row r="218" spans="1:7" x14ac:dyDescent="0.15">
      <c r="A218" t="str">
        <f>HYPERLINK("./new_k5/query_cmdrels_weight_analyze/0.4_0.2_0.4/so_1194882.xlsx","so_1194882")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HYPERLINK("./new_k5/query_cmdrels_weight_analyze/0.4_0.2_0.4/so_12120935.xlsx","so_12120935")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HYPERLINK("./new_k5/query_cmdrels_weight_analyze/0.4_0.2_0.4/so_12313384.xlsx","so_12313384")</f>
        <v>so_12313384</v>
      </c>
      <c r="B220">
        <v>0</v>
      </c>
      <c r="C220">
        <v>0</v>
      </c>
      <c r="D220">
        <v>0.16666666666666671</v>
      </c>
      <c r="E220">
        <v>0.16666666666666671</v>
      </c>
      <c r="F220">
        <v>0.16666666666666671</v>
      </c>
      <c r="G220">
        <v>0.33333333333333331</v>
      </c>
    </row>
    <row r="221" spans="1:7" x14ac:dyDescent="0.15">
      <c r="A221" t="str">
        <f>HYPERLINK("./new_k5/query_cmdrels_weight_analyze/0.4_0.2_0.4/so_12392598.xlsx","so_12392598")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0.23809523809523811</v>
      </c>
      <c r="F221">
        <v>0.2857142857142857</v>
      </c>
      <c r="G221">
        <v>0.45952380952380961</v>
      </c>
    </row>
    <row r="222" spans="1:7" x14ac:dyDescent="0.15">
      <c r="A222" t="str">
        <f>HYPERLINK("./new_k5/query_cmdrels_weight_analyze/0.4_0.2_0.4/so_1241801.xlsx","so_1241801")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HYPERLINK("./new_k5/query_cmdrels_weight_analyze/0.4_0.2_0.4/so_12522269.xlsx","so_12522269")</f>
        <v>so_12522269</v>
      </c>
      <c r="B223">
        <v>0.2</v>
      </c>
      <c r="C223">
        <v>0</v>
      </c>
      <c r="D223">
        <v>0.2</v>
      </c>
      <c r="E223">
        <v>0.1</v>
      </c>
      <c r="F223">
        <v>0.28000000000000003</v>
      </c>
      <c r="G223">
        <v>0.1</v>
      </c>
    </row>
    <row r="224" spans="1:7" x14ac:dyDescent="0.15">
      <c r="A224" t="str">
        <f>HYPERLINK("./new_k5/query_cmdrels_weight_analyze/0.4_0.2_0.4/so_1293907.xlsx","so_1293907")</f>
        <v>so_1293907</v>
      </c>
      <c r="B224">
        <v>0</v>
      </c>
      <c r="C224">
        <v>0.33333333333333331</v>
      </c>
      <c r="D224">
        <v>0</v>
      </c>
      <c r="E224">
        <v>0.55555555555555547</v>
      </c>
      <c r="F224">
        <v>8.3333333333333329E-2</v>
      </c>
      <c r="G224">
        <v>0.80555555555555547</v>
      </c>
    </row>
    <row r="225" spans="1:7" x14ac:dyDescent="0.15">
      <c r="A225" t="str">
        <f>HYPERLINK("./new_k5/query_cmdrels_weight_analyze/0.4_0.2_0.4/so_13428910.xlsx","so_13428910")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HYPERLINK("./new_k5/query_cmdrels_weight_analyze/0.4_0.2_0.4/so_135688.xlsx","so_135688")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HYPERLINK("./new_k5/query_cmdrels_weight_analyze/0.4_0.2_0.4/so_13778273.xlsx","so_13778273")</f>
        <v>so_13778273</v>
      </c>
      <c r="B227">
        <v>0.25</v>
      </c>
      <c r="C227">
        <v>0.25</v>
      </c>
      <c r="D227">
        <v>0.25</v>
      </c>
      <c r="E227">
        <v>0.25</v>
      </c>
      <c r="F227">
        <v>0.25</v>
      </c>
      <c r="G227">
        <v>0.375</v>
      </c>
    </row>
    <row r="228" spans="1:7" x14ac:dyDescent="0.15">
      <c r="A228" t="str">
        <f>HYPERLINK("./new_k5/query_cmdrels_weight_analyze/0.4_0.2_0.4/so_1405611.xlsx","so_1405611")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</v>
      </c>
      <c r="F228">
        <v>0.33333333333333331</v>
      </c>
      <c r="G228">
        <v>6.6666666666666666E-2</v>
      </c>
    </row>
    <row r="229" spans="1:7" x14ac:dyDescent="0.15">
      <c r="A229" t="str">
        <f>HYPERLINK("./new_k5/query_cmdrels_weight_analyze/0.4_0.2_0.4/so_14300794.xlsx","so_14300794")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0.66666666666666663</v>
      </c>
    </row>
    <row r="230" spans="1:7" x14ac:dyDescent="0.15">
      <c r="A230" t="str">
        <f>HYPERLINK("./new_k5/query_cmdrels_weight_analyze/0.4_0.2_0.4/so_143791.xlsx","so_143791")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HYPERLINK("./new_k5/query_cmdrels_weight_analyze/0.4_0.2_0.4/so_14750650.xlsx","so_14750650")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0.05</v>
      </c>
    </row>
    <row r="232" spans="1:7" x14ac:dyDescent="0.15">
      <c r="A232" t="str">
        <f>HYPERLINK("./new_k5/query_cmdrels_weight_analyze/0.4_0.2_0.4/so_14978411.xlsx","so_14978411")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HYPERLINK("./new_k5/query_cmdrels_weight_analyze/0.4_0.2_0.4/so_15236308.xlsx","so_15236308")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HYPERLINK("./new_k5/query_cmdrels_weight_analyze/0.4_0.2_0.4/so_15286947.xlsx","so_15286947")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HYPERLINK("./new_k5/query_cmdrels_weight_analyze/0.4_0.2_0.4/so_15402770.xlsx","so_15402770")</f>
        <v>so_15402770</v>
      </c>
      <c r="B235">
        <v>0</v>
      </c>
      <c r="C235">
        <v>0</v>
      </c>
      <c r="D235">
        <v>0.19444444444444439</v>
      </c>
      <c r="E235">
        <v>0.19444444444444439</v>
      </c>
      <c r="F235">
        <v>0.19444444444444439</v>
      </c>
      <c r="G235">
        <v>0.31944444444444442</v>
      </c>
    </row>
    <row r="236" spans="1:7" x14ac:dyDescent="0.15">
      <c r="A236" t="str">
        <f>HYPERLINK("./new_k5/query_cmdrels_weight_analyze/0.4_0.2_0.4/so_1570262.xlsx","so_1570262")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0.13</v>
      </c>
    </row>
    <row r="237" spans="1:7" x14ac:dyDescent="0.15">
      <c r="A237" t="str">
        <f>HYPERLINK("./new_k5/query_cmdrels_weight_analyze/0.4_0.2_0.4/so_1583219.xlsx","so_1583219")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HYPERLINK("./new_k5/query_cmdrels_weight_analyze/0.4_0.2_0.4/so_15872543.xlsx","so_15872543")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HYPERLINK("./new_k5/query_cmdrels_weight_analyze/0.4_0.2_0.4/so_16038087.xlsx","so_16038087")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0.54285714285714282</v>
      </c>
    </row>
    <row r="240" spans="1:7" x14ac:dyDescent="0.15">
      <c r="A240" t="str">
        <f>HYPERLINK("./new_k5/query_cmdrels_weight_analyze/0.4_0.2_0.4/so_16212656.xlsx","so_16212656")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0.38</v>
      </c>
    </row>
    <row r="241" spans="1:7" x14ac:dyDescent="0.15">
      <c r="A241" t="str">
        <f>HYPERLINK("./new_k5/query_cmdrels_weight_analyze/0.4_0.2_0.4/so_16575419.xlsx","so_16575419")</f>
        <v>so_16575419</v>
      </c>
      <c r="B241">
        <v>0.25</v>
      </c>
      <c r="C241">
        <v>0.25</v>
      </c>
      <c r="D241">
        <v>0.25</v>
      </c>
      <c r="E241">
        <v>0.5</v>
      </c>
      <c r="F241">
        <v>0.25</v>
      </c>
      <c r="G241">
        <v>0.5</v>
      </c>
    </row>
    <row r="242" spans="1:7" x14ac:dyDescent="0.15">
      <c r="A242" t="str">
        <f>HYPERLINK("./new_k5/query_cmdrels_weight_analyze/0.4_0.2_0.4/so_17582768.xlsx","so_17582768")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6.6666666666666666E-2</v>
      </c>
    </row>
    <row r="243" spans="1:7" x14ac:dyDescent="0.15">
      <c r="A243" t="str">
        <f>HYPERLINK("./new_k5/query_cmdrels_weight_analyze/0.4_0.2_0.4/so_17607612.xlsx","so_17607612")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HYPERLINK("./new_k5/query_cmdrels_weight_analyze/0.4_0.2_0.4/so_17829785.xlsx","so_17829785")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HYPERLINK("./new_k5/query_cmdrels_weight_analyze/0.4_0.2_0.4/so_1839841.xlsx","so_1839841")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HYPERLINK("./new_k5/query_cmdrels_weight_analyze/0.4_0.2_0.4/so_18468716.xlsx","so_18468716")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0.33333333333333331</v>
      </c>
    </row>
    <row r="247" spans="1:7" x14ac:dyDescent="0.15">
      <c r="A247" t="str">
        <f>HYPERLINK("./new_k5/query_cmdrels_weight_analyze/0.4_0.2_0.4/so_19196105.xlsx","so_19196105")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HYPERLINK("./new_k5/query_cmdrels_weight_analyze/0.4_0.2_0.4/so_19482123.xlsx","so_19482123")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HYPERLINK("./new_k5/query_cmdrels_weight_analyze/0.4_0.2_0.4/so_1975849.xlsx","so_1975849")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HYPERLINK("./new_k5/query_cmdrels_weight_analyze/0.4_0.2_0.4/so_212528.xlsx","so_212528")</f>
        <v>so_212528</v>
      </c>
      <c r="B250">
        <v>0</v>
      </c>
      <c r="C250">
        <v>0.16666666666666671</v>
      </c>
      <c r="D250">
        <v>0.19444444444444439</v>
      </c>
      <c r="E250">
        <v>0.5</v>
      </c>
      <c r="F250">
        <v>0.19444444444444439</v>
      </c>
      <c r="G250">
        <v>0.5</v>
      </c>
    </row>
    <row r="251" spans="1:7" x14ac:dyDescent="0.15">
      <c r="A251" t="str">
        <f>HYPERLINK("./new_k5/query_cmdrels_weight_analyze/0.4_0.2_0.4/so_21620406.xlsx","so_21620406")</f>
        <v>so_21620406</v>
      </c>
      <c r="B251">
        <v>0</v>
      </c>
      <c r="C251">
        <v>0</v>
      </c>
      <c r="D251">
        <v>0.1111111111111111</v>
      </c>
      <c r="E251">
        <v>0</v>
      </c>
      <c r="F251">
        <v>0.1111111111111111</v>
      </c>
      <c r="G251">
        <v>8.3333333333333329E-2</v>
      </c>
    </row>
    <row r="252" spans="1:7" x14ac:dyDescent="0.15">
      <c r="A252" t="str">
        <f>HYPERLINK("./new_k5/query_cmdrels_weight_analyze/0.4_0.2_0.4/so_23509348.xlsx","so_23509348")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HYPERLINK("./new_k5/query_cmdrels_weight_analyze/0.4_0.2_0.4/so_24058544.xlsx","so_24058544")</f>
        <v>so_24058544</v>
      </c>
      <c r="B253">
        <v>0.2</v>
      </c>
      <c r="C253">
        <v>0.2</v>
      </c>
      <c r="D253">
        <v>0.2</v>
      </c>
      <c r="E253">
        <v>0.2</v>
      </c>
      <c r="F253">
        <v>0.2</v>
      </c>
      <c r="G253">
        <v>0.2</v>
      </c>
    </row>
    <row r="254" spans="1:7" x14ac:dyDescent="0.15">
      <c r="A254" t="str">
        <f>HYPERLINK("./new_k5/query_cmdrels_weight_analyze/0.4_0.2_0.4/so_24283097.xlsx","so_24283097")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HYPERLINK("./new_k5/query_cmdrels_weight_analyze/0.4_0.2_0.4/so_26256279.xlsx","so_26256279")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HYPERLINK("./new_k5/query_cmdrels_weight_analyze/0.4_0.2_0.4/so_26331651.xlsx","so_26331651")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HYPERLINK("./new_k5/query_cmdrels_weight_analyze/0.4_0.2_0.4/so_26988262.xlsx","so_26988262")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HYPERLINK("./new_k5/query_cmdrels_weight_analyze/0.4_0.2_0.4/so_27238411.xlsx","so_27238411")</f>
        <v>so_27238411</v>
      </c>
      <c r="B258">
        <v>0.2</v>
      </c>
      <c r="C258">
        <v>0.2</v>
      </c>
      <c r="D258">
        <v>0.6</v>
      </c>
      <c r="E258">
        <v>0.6</v>
      </c>
      <c r="F258">
        <v>0.6</v>
      </c>
      <c r="G258">
        <v>0.6</v>
      </c>
    </row>
    <row r="259" spans="1:7" x14ac:dyDescent="0.15">
      <c r="A259" t="str">
        <f>HYPERLINK("./new_k5/query_cmdrels_weight_analyze/0.4_0.2_0.4/so_27943059.xlsx","so_27943059")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0.55555555555555547</v>
      </c>
      <c r="F259">
        <v>0.16666666666666671</v>
      </c>
      <c r="G259">
        <v>0.55555555555555547</v>
      </c>
    </row>
    <row r="260" spans="1:7" x14ac:dyDescent="0.15">
      <c r="A260" t="str">
        <f>HYPERLINK("./new_k5/query_cmdrels_weight_analyze/0.4_0.2_0.4/so_28869004.xlsx","so_28869004")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HYPERLINK("./new_k5/query_cmdrels_weight_analyze/0.4_0.2_0.4/so_2973624.xlsx","so_2973624")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0.55555555555555547</v>
      </c>
      <c r="F261">
        <v>0.66666666666666663</v>
      </c>
      <c r="G261">
        <v>0.80555555555555547</v>
      </c>
    </row>
    <row r="262" spans="1:7" x14ac:dyDescent="0.15">
      <c r="A262" t="str">
        <f>HYPERLINK("./new_k5/query_cmdrels_weight_analyze/0.4_0.2_0.4/so_30177455.xlsx","so_30177455")</f>
        <v>so_30177455</v>
      </c>
      <c r="B262">
        <v>0</v>
      </c>
      <c r="C262">
        <v>0</v>
      </c>
      <c r="D262">
        <v>0.16666666666666671</v>
      </c>
      <c r="E262">
        <v>0.1111111111111111</v>
      </c>
      <c r="F262">
        <v>0.16666666666666671</v>
      </c>
      <c r="G262">
        <v>0.1111111111111111</v>
      </c>
    </row>
    <row r="263" spans="1:7" x14ac:dyDescent="0.15">
      <c r="A263" t="str">
        <f>HYPERLINK("./new_k5/query_cmdrels_weight_analyze/0.4_0.2_0.4/so_30251889.xlsx","so_30251889")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0.6791666666666667</v>
      </c>
    </row>
    <row r="264" spans="1:7" x14ac:dyDescent="0.15">
      <c r="A264" t="str">
        <f>HYPERLINK("./new_k5/query_cmdrels_weight_analyze/0.4_0.2_0.4/so_305035.xlsx","so_305035")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HYPERLINK("./new_k5/query_cmdrels_weight_analyze/0.4_0.2_0.4/so_36249744.xlsx","so_36249744")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HYPERLINK("./new_k5/query_cmdrels_weight_analyze/0.4_0.2_0.4/so_3643848.xlsx","so_3643848")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HYPERLINK("./new_k5/query_cmdrels_weight_analyze/0.4_0.2_0.4/so_3667329.xlsx","so_3667329")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HYPERLINK("./new_k5/query_cmdrels_weight_analyze/0.4_0.2_0.4/so_369758.xlsx","so_369758")</f>
        <v>so_369758</v>
      </c>
      <c r="B268">
        <v>0.2</v>
      </c>
      <c r="C268">
        <v>0.2</v>
      </c>
      <c r="D268">
        <v>0.4</v>
      </c>
      <c r="E268">
        <v>0.33333333333333331</v>
      </c>
      <c r="F268">
        <v>0.4</v>
      </c>
      <c r="G268">
        <v>0.48333333333333328</v>
      </c>
    </row>
    <row r="269" spans="1:7" x14ac:dyDescent="0.15">
      <c r="A269" t="str">
        <f>HYPERLINK("./new_k5/query_cmdrels_weight_analyze/0.4_0.2_0.4/so_3756323.xlsx","so_3756323")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</v>
      </c>
    </row>
    <row r="270" spans="1:7" x14ac:dyDescent="0.15">
      <c r="A270" t="str">
        <f>HYPERLINK("./new_k5/query_cmdrels_weight_analyze/0.4_0.2_0.4/so_3767267.xlsx","so_3767267")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HYPERLINK("./new_k5/query_cmdrels_weight_analyze/0.4_0.2_0.4/so_3833578.xlsx","so_3833578")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HYPERLINK("./new_k5/query_cmdrels_weight_analyze/0.4_0.2_0.4/so_3891076.xlsx","so_3891076")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0.52500000000000002</v>
      </c>
    </row>
    <row r="273" spans="1:7" x14ac:dyDescent="0.15">
      <c r="A273" t="str">
        <f>HYPERLINK("./new_k5/query_cmdrels_weight_analyze/0.4_0.2_0.4/so_3963085.xlsx","so_3963085")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HYPERLINK("./new_k5/query_cmdrels_weight_analyze/0.4_0.2_0.4/so_4325216.xlsx","so_4325216")</f>
        <v>so_4325216</v>
      </c>
      <c r="B274">
        <v>0.5</v>
      </c>
      <c r="C274">
        <v>0.5</v>
      </c>
      <c r="D274">
        <v>0.5</v>
      </c>
      <c r="E274">
        <v>1</v>
      </c>
      <c r="F274">
        <v>0.5</v>
      </c>
      <c r="G274">
        <v>1</v>
      </c>
    </row>
    <row r="275" spans="1:7" x14ac:dyDescent="0.15">
      <c r="A275" t="str">
        <f>HYPERLINK("./new_k5/query_cmdrels_weight_analyze/0.4_0.2_0.4/so_448005.xlsx","so_448005")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HYPERLINK("./new_k5/query_cmdrels_weight_analyze/0.4_0.2_0.4/so_4921879.xlsx","so_4921879")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HYPERLINK("./new_k5/query_cmdrels_weight_analyze/0.4_0.2_0.4/so_4922943.xlsx","so_4922943")</f>
        <v>so_4922943</v>
      </c>
      <c r="B277">
        <v>0.2</v>
      </c>
      <c r="C277">
        <v>0</v>
      </c>
      <c r="D277">
        <v>0.33333333333333331</v>
      </c>
      <c r="E277">
        <v>0.1</v>
      </c>
      <c r="F277">
        <v>0.33333333333333331</v>
      </c>
      <c r="G277">
        <v>0.2</v>
      </c>
    </row>
    <row r="278" spans="1:7" x14ac:dyDescent="0.15">
      <c r="A278" t="str">
        <f>HYPERLINK("./new_k5/query_cmdrels_weight_analyze/0.4_0.2_0.4/so_5119946.xlsx","so_5119946")</f>
        <v>so_5119946</v>
      </c>
      <c r="B278">
        <v>0.5</v>
      </c>
      <c r="C278">
        <v>0</v>
      </c>
      <c r="D278">
        <v>0.5</v>
      </c>
      <c r="E278">
        <v>0.16666666666666671</v>
      </c>
      <c r="F278">
        <v>0.5</v>
      </c>
      <c r="G278">
        <v>0.41666666666666657</v>
      </c>
    </row>
    <row r="279" spans="1:7" x14ac:dyDescent="0.15">
      <c r="A279" t="str">
        <f>HYPERLINK("./new_k5/query_cmdrels_weight_analyze/0.4_0.2_0.4/so_5164985.xlsx","so_5164985")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0.3</v>
      </c>
    </row>
    <row r="280" spans="1:7" x14ac:dyDescent="0.15">
      <c r="A280" t="str">
        <f>HYPERLINK("./new_k5/query_cmdrels_weight_analyze/0.4_0.2_0.4/so_5306153.xlsx","so_5306153")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HYPERLINK("./new_k5/query_cmdrels_weight_analyze/0.4_0.2_0.4/so_5566310.xlsx","so_5566310")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HYPERLINK("./new_k5/query_cmdrels_weight_analyze/0.4_0.2_0.4/so_5927369.xlsx","so_5927369")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HYPERLINK("./new_k5/query_cmdrels_weight_analyze/0.4_0.2_0.4/so_5947742.xlsx","so_5947742")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HYPERLINK("./new_k5/query_cmdrels_weight_analyze/0.4_0.2_0.4/so_614795.xlsx","so_614795")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HYPERLINK("./new_k5/query_cmdrels_weight_analyze/0.4_0.2_0.4/so_6207573.xlsx","so_6207573")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0.42857142857142849</v>
      </c>
      <c r="F285">
        <v>0.37142857142857139</v>
      </c>
      <c r="G285">
        <v>0.54285714285714282</v>
      </c>
    </row>
    <row r="286" spans="1:7" x14ac:dyDescent="0.15">
      <c r="A286" t="str">
        <f>HYPERLINK("./new_k5/query_cmdrels_weight_analyze/0.4_0.2_0.4/so_6283167.xlsx","so_6283167")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HYPERLINK("./new_k5/query_cmdrels_weight_analyze/0.4_0.2_0.4/so_6329505.xlsx","so_6329505")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HYPERLINK("./new_k5/query_cmdrels_weight_analyze/0.4_0.2_0.4/so_6423532.xlsx","so_6423532")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HYPERLINK("./new_k5/query_cmdrels_weight_analyze/0.4_0.2_0.4/so_669438.xlsx","so_669438")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0.45333333333333331</v>
      </c>
    </row>
    <row r="290" spans="1:7" x14ac:dyDescent="0.15">
      <c r="A290" t="str">
        <f>HYPERLINK("./new_k5/query_cmdrels_weight_analyze/0.4_0.2_0.4/so_7052875.xlsx","so_7052875")</f>
        <v>so_7052875</v>
      </c>
      <c r="B290">
        <v>0.2</v>
      </c>
      <c r="C290">
        <v>0.2</v>
      </c>
      <c r="D290">
        <v>0.2</v>
      </c>
      <c r="E290">
        <v>0.2</v>
      </c>
      <c r="F290">
        <v>0.2</v>
      </c>
      <c r="G290">
        <v>0.3</v>
      </c>
    </row>
    <row r="291" spans="1:7" x14ac:dyDescent="0.15">
      <c r="A291" t="str">
        <f>HYPERLINK("./new_k5/query_cmdrels_weight_analyze/0.4_0.2_0.4/so_7221757.xlsx","so_7221757")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HYPERLINK("./new_k5/query_cmdrels_weight_analyze/0.4_0.2_0.4/so_750604.xlsx","so_750604")</f>
        <v>so_750604</v>
      </c>
      <c r="B292">
        <v>0</v>
      </c>
      <c r="C292">
        <v>0</v>
      </c>
      <c r="D292">
        <v>0.1111111111111111</v>
      </c>
      <c r="E292">
        <v>0.16666666666666671</v>
      </c>
      <c r="F292">
        <v>0.1111111111111111</v>
      </c>
      <c r="G292">
        <v>0.33333333333333331</v>
      </c>
    </row>
    <row r="293" spans="1:7" x14ac:dyDescent="0.15">
      <c r="A293" t="str">
        <f>HYPERLINK("./new_k5/query_cmdrels_weight_analyze/0.4_0.2_0.4/so_7575267.xlsx","so_7575267")</f>
        <v>so_7575267</v>
      </c>
      <c r="B293">
        <v>0</v>
      </c>
      <c r="C293">
        <v>0.25</v>
      </c>
      <c r="D293">
        <v>0</v>
      </c>
      <c r="E293">
        <v>0.5</v>
      </c>
      <c r="F293">
        <v>0</v>
      </c>
      <c r="G293">
        <v>0.5</v>
      </c>
    </row>
    <row r="294" spans="1:7" x14ac:dyDescent="0.15">
      <c r="A294" t="str">
        <f>HYPERLINK("./new_k5/query_cmdrels_weight_analyze/0.4_0.2_0.4/so_7698488.xlsx","so_7698488")</f>
        <v>so_7698488</v>
      </c>
      <c r="B294">
        <v>0</v>
      </c>
      <c r="C294">
        <v>0</v>
      </c>
      <c r="D294">
        <v>0</v>
      </c>
      <c r="E294">
        <v>8.3333333333333329E-2</v>
      </c>
      <c r="F294">
        <v>0</v>
      </c>
      <c r="G294">
        <v>0.20833333333333329</v>
      </c>
    </row>
    <row r="295" spans="1:7" x14ac:dyDescent="0.15">
      <c r="A295" t="str">
        <f>HYPERLINK("./new_k5/query_cmdrels_weight_analyze/0.4_0.2_0.4/so_801095.xlsx","so_801095")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0.33333333333333331</v>
      </c>
      <c r="F295">
        <v>0.33333333333333331</v>
      </c>
      <c r="G295">
        <v>0.5</v>
      </c>
    </row>
    <row r="296" spans="1:7" x14ac:dyDescent="0.15">
      <c r="A296" t="str">
        <f>HYPERLINK("./new_k5/query_cmdrels_weight_analyze/0.4_0.2_0.4/so_8249705.xlsx","so_8249705")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HYPERLINK("./new_k5/query_cmdrels_weight_analyze/0.4_0.2_0.4/so_8423541.xlsx","so_8423541")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HYPERLINK("./new_k5/query_cmdrels_weight_analyze/0.4_0.2_0.4/so_8654051.xlsx","so_8654051")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HYPERLINK("./new_k5/query_cmdrels_weight_analyze/0.4_0.2_0.4/so_890262.xlsx","so_890262")</f>
        <v>so_890262</v>
      </c>
      <c r="B299">
        <v>0</v>
      </c>
      <c r="C299">
        <v>0</v>
      </c>
      <c r="D299">
        <v>0</v>
      </c>
      <c r="E299">
        <v>0.38888888888888878</v>
      </c>
      <c r="F299">
        <v>0</v>
      </c>
      <c r="G299">
        <v>0.38888888888888878</v>
      </c>
    </row>
    <row r="300" spans="1:7" x14ac:dyDescent="0.15">
      <c r="A300" t="str">
        <f>HYPERLINK("./new_k5/query_cmdrels_weight_analyze/0.4_0.2_0.4/so_893585.xlsx","so_893585")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HYPERLINK("./new_k5/query_cmdrels_weight_analyze/0.4_0.2_0.4/so_9223460.xlsx","so_9223460")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HYPERLINK("./new_k5/query_cmdrels_weight_analyze/0.4_0.2_0.4/so_9245638.xlsx","so_9245638")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HYPERLINK("./new_k5/query_cmdrels_weight_analyze/0.4_0.2_0.4/so_9304953.xlsx","so_9304953")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HYPERLINK("./new_k5/query_cmdrels_weight_analyze/0.4_0.2_0.4/so_9361816.xlsx","so_9361816")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HYPERLINK("./new_k5/query_cmdrels_weight_analyze/0.4_0.2_0.4/su_116617.xlsx","su_116617")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HYPERLINK("./new_k5/query_cmdrels_weight_analyze/0.4_0.2_0.4/su_120045.xlsx","su_120045")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HYPERLINK("./new_k5/query_cmdrels_weight_analyze/0.4_0.2_0.4/su_127863.xlsx","su_127863")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HYPERLINK("./new_k5/query_cmdrels_weight_analyze/0.4_0.2_0.4/su_135498.xlsx","su_135498")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HYPERLINK("./new_k5/query_cmdrels_weight_analyze/0.4_0.2_0.4/su_147027.xlsx","su_147027")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HYPERLINK("./new_k5/query_cmdrels_weight_analyze/0.4_0.2_0.4/su_151911.xlsx","su_151911")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15">
      <c r="A311" t="str">
        <f>HYPERLINK("./new_k5/query_cmdrels_weight_analyze/0.4_0.2_0.4/su_153415.xlsx","su_153415")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HYPERLINK("./new_k5/query_cmdrels_weight_analyze/0.4_0.2_0.4/su_156189.xlsx","su_156189")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0.37777777777777782</v>
      </c>
    </row>
    <row r="313" spans="1:7" x14ac:dyDescent="0.15">
      <c r="A313" t="str">
        <f>HYPERLINK("./new_k5/query_cmdrels_weight_analyze/0.4_0.2_0.4/su_161531.xlsx","su_161531")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HYPERLINK("./new_k5/query_cmdrels_weight_analyze/0.4_0.2_0.4/su_204209.xlsx","su_204209")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HYPERLINK("./new_k5/query_cmdrels_weight_analyze/0.4_0.2_0.4/su_214390.xlsx","su_214390")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HYPERLINK("./new_k5/query_cmdrels_weight_analyze/0.4_0.2_0.4/su_215483.xlsx","su_215483")</f>
        <v>su_215483</v>
      </c>
      <c r="B316">
        <v>0.5</v>
      </c>
      <c r="C316">
        <v>0.5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HYPERLINK("./new_k5/query_cmdrels_weight_analyze/0.4_0.2_0.4/su_215504.xlsx","su_215504")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0.47916666666666657</v>
      </c>
    </row>
    <row r="318" spans="1:7" x14ac:dyDescent="0.15">
      <c r="A318" t="str">
        <f>HYPERLINK("./new_k5/query_cmdrels_weight_analyze/0.4_0.2_0.4/su_227385.xlsx","su_227385")</f>
        <v>su_227385</v>
      </c>
      <c r="B318">
        <v>0</v>
      </c>
      <c r="C318">
        <v>0</v>
      </c>
      <c r="D318">
        <v>0</v>
      </c>
      <c r="E318">
        <v>0.29166666666666657</v>
      </c>
      <c r="F318">
        <v>0</v>
      </c>
      <c r="G318">
        <v>0.6791666666666667</v>
      </c>
    </row>
    <row r="319" spans="1:7" x14ac:dyDescent="0.15">
      <c r="A319" t="str">
        <f>HYPERLINK("./new_k5/query_cmdrels_weight_analyze/0.4_0.2_0.4/su_273254.xlsx","su_273254")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HYPERLINK("./new_k5/query_cmdrels_weight_analyze/0.4_0.2_0.4/su_294161.xlsx","su_294161")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HYPERLINK("./new_k5/query_cmdrels_weight_analyze/0.4_0.2_0.4/su_302396.xlsx","su_302396")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HYPERLINK("./new_k5/query_cmdrels_weight_analyze/0.4_0.2_0.4/su_303981.xlsx","su_303981")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HYPERLINK("./new_k5/query_cmdrels_weight_analyze/0.4_0.2_0.4/su_305128.xlsx","su_305128")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HYPERLINK("./new_k5/query_cmdrels_weight_analyze/0.4_0.2_0.4/su_31512.xlsx","su_31512")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HYPERLINK("./new_k5/query_cmdrels_weight_analyze/0.4_0.2_0.4/su_380520.xlsx","su_380520")</f>
        <v>su_380520</v>
      </c>
      <c r="B325">
        <v>0.33333333333333331</v>
      </c>
      <c r="C325">
        <v>0.33333333333333331</v>
      </c>
      <c r="D325">
        <v>0.33333333333333331</v>
      </c>
      <c r="E325">
        <v>0.55555555555555547</v>
      </c>
      <c r="F325">
        <v>0.33333333333333331</v>
      </c>
      <c r="G325">
        <v>0.55555555555555547</v>
      </c>
    </row>
    <row r="326" spans="1:7" x14ac:dyDescent="0.15">
      <c r="A326" t="str">
        <f>HYPERLINK("./new_k5/query_cmdrels_weight_analyze/0.4_0.2_0.4/su_38981.xlsx","su_38981")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HYPERLINK("./new_k5/query_cmdrels_weight_analyze/0.4_0.2_0.4/su_437330.xlsx","su_437330")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HYPERLINK("./new_k5/query_cmdrels_weight_analyze/0.4_0.2_0.4/su_441379.xlsx","su_441379")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HYPERLINK("./new_k5/query_cmdrels_weight_analyze/0.4_0.2_0.4/su_462788.xlsx","su_462788")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0.22222222222222221</v>
      </c>
      <c r="F329">
        <v>0.30555555555555558</v>
      </c>
      <c r="G329">
        <v>0.39444444444444438</v>
      </c>
    </row>
    <row r="330" spans="1:7" x14ac:dyDescent="0.15">
      <c r="A330" t="str">
        <f>HYPERLINK("./new_k5/query_cmdrels_weight_analyze/0.4_0.2_0.4/su_626606.xlsx","su_626606")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0.66666666666666663</v>
      </c>
    </row>
    <row r="331" spans="1:7" x14ac:dyDescent="0.15">
      <c r="A331" t="str">
        <f>HYPERLINK("./new_k5/query_cmdrels_weight_analyze/0.4_0.2_0.4/su_634469.xlsx","su_634469")</f>
        <v>su_634469</v>
      </c>
      <c r="B331">
        <v>0</v>
      </c>
      <c r="C331">
        <v>0.16666666666666671</v>
      </c>
      <c r="D331">
        <v>0</v>
      </c>
      <c r="E331">
        <v>0.33333333333333331</v>
      </c>
      <c r="F331">
        <v>0</v>
      </c>
      <c r="G331">
        <v>0.45833333333333331</v>
      </c>
    </row>
    <row r="332" spans="1:7" x14ac:dyDescent="0.15">
      <c r="A332" t="str">
        <f>HYPERLINK("./new_k5/query_cmdrels_weight_analyze/0.4_0.2_0.4/su_638616.xlsx","su_638616")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HYPERLINK("./new_k5/query_cmdrels_weight_analyze/0.4_0.2_0.4/su_678113.xlsx","su_678113")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HYPERLINK("./new_k5/query_cmdrels_weight_analyze/0.4_0.2_0.4/su_686394.xlsx","su_686394")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HYPERLINK("./new_k5/query_cmdrels_weight_analyze/0.4_0.2_0.4/su_716795.xlsx","su_716795")</f>
        <v>su_716795</v>
      </c>
      <c r="B335">
        <v>0.5</v>
      </c>
      <c r="C335">
        <v>0</v>
      </c>
      <c r="D335">
        <v>0.83333333333333326</v>
      </c>
      <c r="E335">
        <v>0.16666666666666671</v>
      </c>
      <c r="F335">
        <v>0.83333333333333326</v>
      </c>
      <c r="G335">
        <v>0.16666666666666671</v>
      </c>
    </row>
    <row r="336" spans="1:7" x14ac:dyDescent="0.15">
      <c r="A336" t="str">
        <f>HYPERLINK("./new_k5/query_cmdrels_weight_analyze/0.4_0.2_0.4/su_758463.xlsx","su_758463")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HYPERLINK("./new_k5/query_cmdrels_weight_analyze/0.4_0.2_0.4/su_766437.xlsx","su_766437")</f>
        <v>su_766437</v>
      </c>
      <c r="B337">
        <v>0</v>
      </c>
      <c r="C337">
        <v>0</v>
      </c>
      <c r="D337">
        <v>0</v>
      </c>
      <c r="E337">
        <v>6.6666666666666666E-2</v>
      </c>
      <c r="F337">
        <v>0.05</v>
      </c>
      <c r="G337">
        <v>0.28666666666666663</v>
      </c>
    </row>
    <row r="338" spans="1:7" x14ac:dyDescent="0.15">
      <c r="A338" t="str">
        <f>HYPERLINK("./new_k5/query_cmdrels_weight_analyze/0.4_0.2_0.4/su_904001.xlsx","su_904001")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HYPERLINK("./new_k5/query_cmdrels_weight_analyze/0.4_0.2_0.4/ul_100959.xlsx","ul_100959")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HYPERLINK("./new_k5/query_cmdrels_weight_analyze/0.4_0.2_0.4/ul_101073.xlsx","ul_101073")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HYPERLINK("./new_k5/query_cmdrels_weight_analyze/0.4_0.2_0.4/ul_101237.xlsx","ul_101237")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HYPERLINK("./new_k5/query_cmdrels_weight_analyze/0.4_0.2_0.4/ul_102752.xlsx","ul_102752")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HYPERLINK("./new_k5/query_cmdrels_weight_analyze/0.4_0.2_0.4/ul_108174.xlsx","ul_108174")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HYPERLINK("./new_k5/query_cmdrels_weight_analyze/0.4_0.2_0.4/ul_109536.xlsx","ul_109536")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HYPERLINK("./new_k5/query_cmdrels_weight_analyze/0.4_0.2_0.4/ul_112050.xlsx","ul_112050")</f>
        <v>ul_112050</v>
      </c>
      <c r="B345">
        <v>0</v>
      </c>
      <c r="C345">
        <v>0.25</v>
      </c>
      <c r="D345">
        <v>0.125</v>
      </c>
      <c r="E345">
        <v>0.75</v>
      </c>
      <c r="F345">
        <v>0.125</v>
      </c>
      <c r="G345">
        <v>0.75</v>
      </c>
    </row>
    <row r="346" spans="1:7" x14ac:dyDescent="0.15">
      <c r="A346" t="str">
        <f>HYPERLINK("./new_k5/query_cmdrels_weight_analyze/0.4_0.2_0.4/ul_116070.xlsx","ul_116070")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HYPERLINK("./new_k5/query_cmdrels_weight_analyze/0.4_0.2_0.4/ul_11851.xlsx","ul_11851")</f>
        <v>ul_11851</v>
      </c>
      <c r="B347">
        <v>0</v>
      </c>
      <c r="C347">
        <v>0.2</v>
      </c>
      <c r="D347">
        <v>0</v>
      </c>
      <c r="E347">
        <v>0.4</v>
      </c>
      <c r="F347">
        <v>0</v>
      </c>
      <c r="G347">
        <v>0.71</v>
      </c>
    </row>
    <row r="348" spans="1:7" x14ac:dyDescent="0.15">
      <c r="A348" t="str">
        <f>HYPERLINK("./new_k5/query_cmdrels_weight_analyze/0.4_0.2_0.4/ul_119126.xlsx","ul_119126")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HYPERLINK("./new_k5/query_cmdrels_weight_analyze/0.4_0.2_0.4/ul_121718.xlsx","ul_121718")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HYPERLINK("./new_k5/query_cmdrels_weight_analyze/0.4_0.2_0.4/ul_12227.xlsx","ul_12227")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HYPERLINK("./new_k5/query_cmdrels_weight_analyze/0.4_0.2_0.4/ul_12453.xlsx","ul_12453")</f>
        <v>ul_12453</v>
      </c>
      <c r="B351">
        <v>0</v>
      </c>
      <c r="C351">
        <v>0</v>
      </c>
      <c r="D351">
        <v>0.125</v>
      </c>
      <c r="E351">
        <v>0.29166666666666657</v>
      </c>
      <c r="F351">
        <v>0.125</v>
      </c>
      <c r="G351">
        <v>0.47916666666666657</v>
      </c>
    </row>
    <row r="352" spans="1:7" x14ac:dyDescent="0.15">
      <c r="A352" t="str">
        <f>HYPERLINK("./new_k5/query_cmdrels_weight_analyze/0.4_0.2_0.4/ul_12535.xlsx","ul_12535")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0.16666666666666671</v>
      </c>
    </row>
    <row r="353" spans="1:7" x14ac:dyDescent="0.15">
      <c r="A353" t="str">
        <f>HYPERLINK("./new_k5/query_cmdrels_weight_analyze/0.4_0.2_0.4/ul_127066.xlsx","ul_127066")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0.41666666666666657</v>
      </c>
    </row>
    <row r="354" spans="1:7" x14ac:dyDescent="0.15">
      <c r="A354" t="str">
        <f>HYPERLINK("./new_k5/query_cmdrels_weight_analyze/0.4_0.2_0.4/ul_128953.xlsx","ul_128953")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HYPERLINK("./new_k5/query_cmdrels_weight_analyze/0.4_0.2_0.4/ul_134829.xlsx","ul_134829")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0.5</v>
      </c>
    </row>
    <row r="356" spans="1:7" x14ac:dyDescent="0.15">
      <c r="A356" t="str">
        <f>HYPERLINK("./new_k5/query_cmdrels_weight_analyze/0.4_0.2_0.4/ul_136371.xlsx","ul_136371")</f>
        <v>ul_136371</v>
      </c>
      <c r="B356">
        <v>0</v>
      </c>
      <c r="C356">
        <v>0.33333333333333331</v>
      </c>
      <c r="D356">
        <v>0</v>
      </c>
      <c r="E356">
        <v>0.33333333333333331</v>
      </c>
      <c r="F356">
        <v>0</v>
      </c>
      <c r="G356">
        <v>0.46666666666666662</v>
      </c>
    </row>
    <row r="357" spans="1:7" x14ac:dyDescent="0.15">
      <c r="A357" t="str">
        <f>HYPERLINK("./new_k5/query_cmdrels_weight_analyze/0.4_0.2_0.4/ul_136884.xlsx","ul_136884")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HYPERLINK("./new_k5/query_cmdrels_weight_analyze/0.4_0.2_0.4/ul_138398.xlsx","ul_138398")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HYPERLINK("./new_k5/query_cmdrels_weight_analyze/0.4_0.2_0.4/ul_139271.xlsx","ul_139271")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0.27777777777777768</v>
      </c>
      <c r="F359">
        <v>0.33333333333333331</v>
      </c>
      <c r="G359">
        <v>0.37777777777777782</v>
      </c>
    </row>
    <row r="360" spans="1:7" x14ac:dyDescent="0.15">
      <c r="A360" t="str">
        <f>HYPERLINK("./new_k5/query_cmdrels_weight_analyze/0.4_0.2_0.4/ul_140482.xlsx","ul_140482")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HYPERLINK("./new_k5/query_cmdrels_weight_analyze/0.4_0.2_0.4/ul_14191.xlsx","ul_14191")</f>
        <v>ul_14191</v>
      </c>
      <c r="B361">
        <v>0.33333333333333331</v>
      </c>
      <c r="C361">
        <v>0</v>
      </c>
      <c r="D361">
        <v>0.55555555555555547</v>
      </c>
      <c r="E361">
        <v>0</v>
      </c>
      <c r="F361">
        <v>0.55555555555555547</v>
      </c>
      <c r="G361">
        <v>8.3333333333333329E-2</v>
      </c>
    </row>
    <row r="362" spans="1:7" x14ac:dyDescent="0.15">
      <c r="A362" t="str">
        <f>HYPERLINK("./new_k5/query_cmdrels_weight_analyze/0.4_0.2_0.4/ul_145929.xlsx","ul_145929")</f>
        <v>ul_145929</v>
      </c>
      <c r="B362">
        <v>0</v>
      </c>
      <c r="C362">
        <v>0</v>
      </c>
      <c r="D362">
        <v>0.16666666666666671</v>
      </c>
      <c r="E362">
        <v>0.16666666666666671</v>
      </c>
      <c r="F362">
        <v>0.16666666666666671</v>
      </c>
      <c r="G362">
        <v>0.3666666666666667</v>
      </c>
    </row>
    <row r="363" spans="1:7" x14ac:dyDescent="0.15">
      <c r="A363" t="str">
        <f>HYPERLINK("./new_k5/query_cmdrels_weight_analyze/0.4_0.2_0.4/ul_148985.xlsx","ul_148985")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HYPERLINK("./new_k5/query_cmdrels_weight_analyze/0.4_0.2_0.4/ul_15405.xlsx","ul_15405")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HYPERLINK("./new_k5/query_cmdrels_weight_analyze/0.4_0.2_0.4/ul_155551.xlsx","ul_155551")</f>
        <v>ul_155551</v>
      </c>
      <c r="B365">
        <v>0</v>
      </c>
      <c r="C365">
        <v>0</v>
      </c>
      <c r="D365">
        <v>0</v>
      </c>
      <c r="E365">
        <v>0.58333333333333326</v>
      </c>
      <c r="F365">
        <v>0</v>
      </c>
      <c r="G365">
        <v>0.58333333333333326</v>
      </c>
    </row>
    <row r="366" spans="1:7" x14ac:dyDescent="0.15">
      <c r="A366" t="str">
        <f>HYPERLINK("./new_k5/query_cmdrels_weight_analyze/0.4_0.2_0.4/ul_159672.xlsx","ul_159672")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HYPERLINK("./new_k5/query_cmdrels_weight_analyze/0.4_0.2_0.4/ul_163845.xlsx","ul_163845")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HYPERLINK("./new_k5/query_cmdrels_weight_analyze/0.4_0.2_0.4/ul_16407.xlsx","ul_16407")</f>
        <v>ul_16407</v>
      </c>
      <c r="B368">
        <v>0.5</v>
      </c>
      <c r="C368">
        <v>0.5</v>
      </c>
      <c r="D368">
        <v>0.5</v>
      </c>
      <c r="E368">
        <v>0.5</v>
      </c>
      <c r="F368">
        <v>0.75</v>
      </c>
      <c r="G368">
        <v>0.5</v>
      </c>
    </row>
    <row r="369" spans="1:7" x14ac:dyDescent="0.15">
      <c r="A369" t="str">
        <f>HYPERLINK("./new_k5/query_cmdrels_weight_analyze/0.4_0.2_0.4/ul_166558.xlsx","ul_166558")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HYPERLINK("./new_k5/query_cmdrels_weight_analyze/0.4_0.2_0.4/ul_171314.xlsx","ul_171314")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0.35</v>
      </c>
    </row>
    <row r="371" spans="1:7" x14ac:dyDescent="0.15">
      <c r="A371" t="str">
        <f>HYPERLINK("./new_k5/query_cmdrels_weight_analyze/0.4_0.2_0.4/ul_182032.xlsx","ul_182032")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HYPERLINK("./new_k5/query_cmdrels_weight_analyze/0.4_0.2_0.4/ul_19344.xlsx","ul_19344")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HYPERLINK("./new_k5/query_cmdrels_weight_analyze/0.4_0.2_0.4/ul_19369.xlsx","ul_19369")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HYPERLINK("./new_k5/query_cmdrels_weight_analyze/0.4_0.2_0.4/ul_19485.xlsx","ul_19485")</f>
        <v>ul_19485</v>
      </c>
      <c r="B374">
        <v>0</v>
      </c>
      <c r="C374">
        <v>0</v>
      </c>
      <c r="D374">
        <v>0</v>
      </c>
      <c r="E374">
        <v>0.33333333333333331</v>
      </c>
      <c r="F374">
        <v>0</v>
      </c>
      <c r="G374">
        <v>0.33333333333333331</v>
      </c>
    </row>
    <row r="375" spans="1:7" x14ac:dyDescent="0.15">
      <c r="A375" t="str">
        <f>HYPERLINK("./new_k5/query_cmdrels_weight_analyze/0.4_0.2_0.4/ul_20370.xlsx","ul_20370")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0.125</v>
      </c>
    </row>
    <row r="376" spans="1:7" x14ac:dyDescent="0.15">
      <c r="A376" t="str">
        <f>HYPERLINK("./new_k5/query_cmdrels_weight_analyze/0.4_0.2_0.4/ul_211817.xlsx","ul_211817")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HYPERLINK("./new_k5/query_cmdrels_weight_analyze/0.4_0.2_0.4/ul_212925.xlsx","ul_212925")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HYPERLINK("./new_k5/query_cmdrels_weight_analyze/0.4_0.2_0.4/ul_21471.xlsx","ul_21471")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HYPERLINK("./new_k5/query_cmdrels_weight_analyze/0.4_0.2_0.4/ul_22545.xlsx","ul_22545")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HYPERLINK("./new_k5/query_cmdrels_weight_analyze/0.4_0.2_0.4/ul_230481.xlsx","ul_230481")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HYPERLINK("./new_k5/query_cmdrels_weight_analyze/0.4_0.2_0.4/ul_230673.xlsx","ul_230673")</f>
        <v>ul_230673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0.125</v>
      </c>
    </row>
    <row r="382" spans="1:7" x14ac:dyDescent="0.15">
      <c r="A382" t="str">
        <f>HYPERLINK("./new_k5/query_cmdrels_weight_analyze/0.4_0.2_0.4/ul_230800.xlsx","ul_230800")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HYPERLINK("./new_k5/query_cmdrels_weight_analyze/0.4_0.2_0.4/ul_232384.xlsx","ul_232384")</f>
        <v>ul_232384</v>
      </c>
      <c r="B383">
        <v>0</v>
      </c>
      <c r="C383">
        <v>0.5</v>
      </c>
      <c r="D383">
        <v>0</v>
      </c>
      <c r="E383">
        <v>0.83333333333333326</v>
      </c>
      <c r="F383">
        <v>0</v>
      </c>
      <c r="G383">
        <v>0.83333333333333326</v>
      </c>
    </row>
    <row r="384" spans="1:7" x14ac:dyDescent="0.15">
      <c r="A384" t="str">
        <f>HYPERLINK("./new_k5/query_cmdrels_weight_analyze/0.4_0.2_0.4/ul_24441.xlsx","ul_24441")</f>
        <v>ul_24441</v>
      </c>
      <c r="B384">
        <v>0</v>
      </c>
      <c r="C384">
        <v>0</v>
      </c>
      <c r="D384">
        <v>0</v>
      </c>
      <c r="E384">
        <v>0.25</v>
      </c>
      <c r="F384">
        <v>0</v>
      </c>
      <c r="G384">
        <v>0.25</v>
      </c>
    </row>
    <row r="385" spans="1:7" x14ac:dyDescent="0.15">
      <c r="A385" t="str">
        <f>HYPERLINK("./new_k5/query_cmdrels_weight_analyze/0.4_0.2_0.4/ul_246535.xlsx","ul_246535")</f>
        <v>ul_246535</v>
      </c>
      <c r="B385">
        <v>0.2</v>
      </c>
      <c r="C385">
        <v>0.2</v>
      </c>
      <c r="D385">
        <v>0.2</v>
      </c>
      <c r="E385">
        <v>0.2</v>
      </c>
      <c r="F385">
        <v>0.2</v>
      </c>
      <c r="G385">
        <v>0.42</v>
      </c>
    </row>
    <row r="386" spans="1:7" x14ac:dyDescent="0.15">
      <c r="A386" t="str">
        <f>HYPERLINK("./new_k5/query_cmdrels_weight_analyze/0.4_0.2_0.4/ul_259791.xlsx","ul_259791")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HYPERLINK("./new_k5/query_cmdrels_weight_analyze/0.4_0.2_0.4/ul_273971.xlsx","ul_273971")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0.16666666666666671</v>
      </c>
      <c r="F387">
        <v>0.43333333333333329</v>
      </c>
      <c r="G387">
        <v>0.23333333333333331</v>
      </c>
    </row>
    <row r="388" spans="1:7" x14ac:dyDescent="0.15">
      <c r="A388" t="str">
        <f>HYPERLINK("./new_k5/query_cmdrels_weight_analyze/0.4_0.2_0.4/ul_28553.xlsx","ul_28553")</f>
        <v>ul_28553</v>
      </c>
      <c r="B388">
        <v>0.25</v>
      </c>
      <c r="C388">
        <v>0</v>
      </c>
      <c r="D388">
        <v>0.5</v>
      </c>
      <c r="E388">
        <v>0.125</v>
      </c>
      <c r="F388">
        <v>0.5</v>
      </c>
      <c r="G388">
        <v>0.125</v>
      </c>
    </row>
    <row r="389" spans="1:7" x14ac:dyDescent="0.15">
      <c r="A389" t="str">
        <f>HYPERLINK("./new_k5/query_cmdrels_weight_analyze/0.4_0.2_0.4/ul_288521.xlsx","ul_288521")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HYPERLINK("./new_k5/query_cmdrels_weight_analyze/0.4_0.2_0.4/ul_32290.xlsx","ul_32290")</f>
        <v>ul_32290</v>
      </c>
      <c r="B390">
        <v>0</v>
      </c>
      <c r="C390">
        <v>0</v>
      </c>
      <c r="D390">
        <v>0</v>
      </c>
      <c r="E390">
        <v>8.3333333333333329E-2</v>
      </c>
      <c r="F390">
        <v>0</v>
      </c>
      <c r="G390">
        <v>8.3333333333333329E-2</v>
      </c>
    </row>
    <row r="391" spans="1:7" x14ac:dyDescent="0.15">
      <c r="A391" t="str">
        <f>HYPERLINK("./new_k5/query_cmdrels_weight_analyze/0.4_0.2_0.4/ul_328882.xlsx","ul_328882")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HYPERLINK("./new_k5/query_cmdrels_weight_analyze/0.4_0.2_0.4/ul_35131.xlsx","ul_35131")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0.8666666666666667</v>
      </c>
    </row>
    <row r="393" spans="1:7" x14ac:dyDescent="0.15">
      <c r="A393" t="str">
        <f>HYPERLINK("./new_k5/query_cmdrels_weight_analyze/0.4_0.2_0.4/ul_35333.xlsx","ul_35333")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HYPERLINK("./new_k5/query_cmdrels_weight_analyze/0.4_0.2_0.4/ul_35711.xlsx","ul_35711")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HYPERLINK("./new_k5/query_cmdrels_weight_analyze/0.4_0.2_0.4/ul_3575.xlsx","ul_3575")</f>
        <v>ul_3575</v>
      </c>
      <c r="B395">
        <v>0</v>
      </c>
      <c r="C395">
        <v>0.16666666666666671</v>
      </c>
      <c r="D395">
        <v>8.3333333333333329E-2</v>
      </c>
      <c r="E395">
        <v>0.16666666666666671</v>
      </c>
      <c r="F395">
        <v>8.3333333333333329E-2</v>
      </c>
      <c r="G395">
        <v>0.16666666666666671</v>
      </c>
    </row>
    <row r="396" spans="1:7" x14ac:dyDescent="0.15">
      <c r="A396" t="str">
        <f>HYPERLINK("./new_k5/query_cmdrels_weight_analyze/0.4_0.2_0.4/ul_35832.xlsx","ul_35832")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HYPERLINK("./new_k5/query_cmdrels_weight_analyze/0.4_0.2_0.4/ul_370318.xlsx","ul_370318")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0.42857142857142849</v>
      </c>
      <c r="F397">
        <v>0.14285714285714279</v>
      </c>
      <c r="G397">
        <v>0.42857142857142849</v>
      </c>
    </row>
    <row r="398" spans="1:7" x14ac:dyDescent="0.15">
      <c r="A398" t="str">
        <f>HYPERLINK("./new_k5/query_cmdrels_weight_analyze/0.4_0.2_0.4/ul_37329.xlsx","ul_37329")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0.55555555555555547</v>
      </c>
      <c r="F398">
        <v>0.33333333333333331</v>
      </c>
      <c r="G398">
        <v>0.55555555555555547</v>
      </c>
    </row>
    <row r="399" spans="1:7" x14ac:dyDescent="0.15">
      <c r="A399" t="str">
        <f>HYPERLINK("./new_k5/query_cmdrels_weight_analyze/0.4_0.2_0.4/ul_38209.xlsx","ul_38209")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HYPERLINK("./new_k5/query_cmdrels_weight_analyze/0.4_0.2_0.4/ul_41246.xlsx","ul_41246")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HYPERLINK("./new_k5/query_cmdrels_weight_analyze/0.4_0.2_0.4/ul_41362.xlsx","ul_41362")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6.25E-2</v>
      </c>
    </row>
    <row r="402" spans="1:7" x14ac:dyDescent="0.15">
      <c r="A402" t="str">
        <f>HYPERLINK("./new_k5/query_cmdrels_weight_analyze/0.4_0.2_0.4/ul_48200.xlsx","ul_48200")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HYPERLINK("./new_k5/query_cmdrels_weight_analyze/0.4_0.2_0.4/ul_50098.xlsx","ul_50098")</f>
        <v>ul_50098</v>
      </c>
      <c r="B403">
        <v>0</v>
      </c>
      <c r="C403">
        <v>0.1</v>
      </c>
      <c r="D403">
        <v>0.1166666666666667</v>
      </c>
      <c r="E403">
        <v>0.16666666666666671</v>
      </c>
      <c r="F403">
        <v>0.1166666666666667</v>
      </c>
      <c r="G403">
        <v>0.24166666666666661</v>
      </c>
    </row>
    <row r="404" spans="1:7" x14ac:dyDescent="0.15">
      <c r="A404" t="str">
        <f>HYPERLINK("./new_k5/query_cmdrels_weight_analyze/0.4_0.2_0.4/ul_50785.xlsx","ul_50785")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HYPERLINK("./new_k5/query_cmdrels_weight_analyze/0.4_0.2_0.4/ul_5085.xlsx","ul_5085")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HYPERLINK("./new_k5/query_cmdrels_weight_analyze/0.4_0.2_0.4/ul_53737.xlsx","ul_53737")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HYPERLINK("./new_k5/query_cmdrels_weight_analyze/0.4_0.2_0.4/ul_55125.xlsx","ul_55125")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HYPERLINK("./new_k5/query_cmdrels_weight_analyze/0.4_0.2_0.4/ul_56453.xlsx","ul_56453")</f>
        <v>ul_56453</v>
      </c>
      <c r="B408">
        <v>0</v>
      </c>
      <c r="C408">
        <v>0</v>
      </c>
      <c r="D408">
        <v>8.3333333333333329E-2</v>
      </c>
      <c r="E408">
        <v>0.125</v>
      </c>
      <c r="F408">
        <v>8.3333333333333329E-2</v>
      </c>
      <c r="G408">
        <v>0.125</v>
      </c>
    </row>
    <row r="409" spans="1:7" x14ac:dyDescent="0.15">
      <c r="A409" t="str">
        <f>HYPERLINK("./new_k5/query_cmdrels_weight_analyze/0.4_0.2_0.4/ul_63648.xlsx","ul_63648")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HYPERLINK("./new_k5/query_cmdrels_weight_analyze/0.4_0.2_0.4/ul_6402.xlsx","ul_6402")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0.33333333333333331</v>
      </c>
    </row>
    <row r="411" spans="1:7" x14ac:dyDescent="0.15">
      <c r="A411" t="str">
        <f>HYPERLINK("./new_k5/query_cmdrels_weight_analyze/0.4_0.2_0.4/ul_65106.xlsx","ul_65106")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0.91666666666666663</v>
      </c>
    </row>
    <row r="412" spans="1:7" x14ac:dyDescent="0.15">
      <c r="A412" t="str">
        <f>HYPERLINK("./new_k5/query_cmdrels_weight_analyze/0.4_0.2_0.4/ul_65932.xlsx","ul_65932")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HYPERLINK("./new_k5/query_cmdrels_weight_analyze/0.4_0.2_0.4/ul_6596.xlsx","ul_6596")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HYPERLINK("./new_k5/query_cmdrels_weight_analyze/0.4_0.2_0.4/ul_67503.xlsx","ul_67503")</f>
        <v>ul_67503</v>
      </c>
      <c r="B414">
        <v>0</v>
      </c>
      <c r="C414">
        <v>0.5</v>
      </c>
      <c r="D414">
        <v>0.25</v>
      </c>
      <c r="E414">
        <v>0.83333333333333326</v>
      </c>
      <c r="F414">
        <v>0.5</v>
      </c>
      <c r="G414">
        <v>0.83333333333333326</v>
      </c>
    </row>
    <row r="415" spans="1:7" x14ac:dyDescent="0.15">
      <c r="A415" t="str">
        <f>HYPERLINK("./new_k5/query_cmdrels_weight_analyze/0.4_0.2_0.4/ul_67592.xlsx","ul_67592")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HYPERLINK("./new_k5/query_cmdrels_weight_analyze/0.4_0.2_0.4/ul_70581.xlsx","ul_70581")</f>
        <v>ul_70581</v>
      </c>
      <c r="B416">
        <v>0</v>
      </c>
      <c r="C416">
        <v>0</v>
      </c>
      <c r="D416">
        <v>0.1</v>
      </c>
      <c r="E416">
        <v>0.1</v>
      </c>
      <c r="F416">
        <v>0.1</v>
      </c>
      <c r="G416">
        <v>0.32</v>
      </c>
    </row>
    <row r="417" spans="1:7" x14ac:dyDescent="0.15">
      <c r="A417" t="str">
        <f>HYPERLINK("./new_k5/query_cmdrels_weight_analyze/0.4_0.2_0.4/ul_70614.xlsx","ul_70614")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HYPERLINK("./new_k5/query_cmdrels_weight_analyze/0.4_0.2_0.4/ul_71465.xlsx","ul_71465")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HYPERLINK("./new_k5/query_cmdrels_weight_analyze/0.4_0.2_0.4/ul_7226.xlsx","ul_7226")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0.55555555555555547</v>
      </c>
      <c r="F419">
        <v>0.33333333333333331</v>
      </c>
      <c r="G419">
        <v>0.55555555555555547</v>
      </c>
    </row>
    <row r="420" spans="1:7" x14ac:dyDescent="0.15">
      <c r="A420" t="str">
        <f>HYPERLINK("./new_k5/query_cmdrels_weight_analyze/0.4_0.2_0.4/ul_78182.xlsx","ul_78182")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HYPERLINK("./new_k5/query_cmdrels_weight_analyze/0.4_0.2_0.4/ul_79678.xlsx","ul_79678")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HYPERLINK("./new_k5/query_cmdrels_weight_analyze/0.4_0.2_0.4/ul_79702.xlsx","ul_79702")</f>
        <v>ul_79702</v>
      </c>
      <c r="B422">
        <v>0</v>
      </c>
      <c r="C422">
        <v>0.33333333333333331</v>
      </c>
      <c r="D422">
        <v>0</v>
      </c>
      <c r="E422">
        <v>0.66666666666666663</v>
      </c>
      <c r="F422">
        <v>0</v>
      </c>
      <c r="G422">
        <v>0.8666666666666667</v>
      </c>
    </row>
    <row r="423" spans="1:7" x14ac:dyDescent="0.15">
      <c r="A423" t="str">
        <f>HYPERLINK("./new_k5/query_cmdrels_weight_analyze/0.4_0.2_0.4/ul_83593.xlsx","ul_83593")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HYPERLINK("./new_k5/query_cmdrels_weight_analyze/0.4_0.2_0.4/ul_84381.xlsx","ul_84381")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HYPERLINK("./new_k5/query_cmdrels_weight_analyze/0.4_0.2_0.4/ul_85180.xlsx","ul_85180")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0.27777777777777768</v>
      </c>
    </row>
    <row r="426" spans="1:7" x14ac:dyDescent="0.15">
      <c r="A426" t="str">
        <f>HYPERLINK("./new_k5/query_cmdrels_weight_analyze/0.4_0.2_0.4/ul_86071.xlsx","ul_86071")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HYPERLINK("./new_k5/query_cmdrels_weight_analyze/0.4_0.2_0.4/ul_86729.xlsx","ul_86729")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HYPERLINK("./new_k5/query_cmdrels_weight_analyze/0.4_0.2_0.4/ul_88824.xlsx","ul_88824")</f>
        <v>ul_88824</v>
      </c>
      <c r="B428">
        <v>0</v>
      </c>
      <c r="C428">
        <v>0.33333333333333331</v>
      </c>
      <c r="D428">
        <v>0</v>
      </c>
      <c r="E428">
        <v>0.55555555555555547</v>
      </c>
      <c r="F428">
        <v>0</v>
      </c>
      <c r="G428">
        <v>0.55555555555555547</v>
      </c>
    </row>
    <row r="429" spans="1:7" x14ac:dyDescent="0.15">
      <c r="A429" t="str">
        <f>HYPERLINK("./new_k5/query_cmdrels_weight_analyze/0.4_0.2_0.4/ul_8945.xlsx","ul_8945")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HYPERLINK("./new_k5/query_cmdrels_weight_analyze/0.4_0.2_0.4/ul_89933.xlsx","ul_89933")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HYPERLINK("./new_k5/query_cmdrels_weight_analyze/0.4_0.2_0.4/ul_91297.xlsx","ul_91297")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HYPERLINK("./new_k5/query_cmdrels_weight_analyze/0.4_0.2_0.4/ul_9252.xlsx","ul_9252")</f>
        <v>ul_9252</v>
      </c>
      <c r="B432">
        <v>0</v>
      </c>
      <c r="C432">
        <v>0</v>
      </c>
      <c r="D432">
        <v>0.23333333333333331</v>
      </c>
      <c r="E432">
        <v>0.1</v>
      </c>
      <c r="F432">
        <v>0.23333333333333331</v>
      </c>
      <c r="G432">
        <v>0.18</v>
      </c>
    </row>
    <row r="433" spans="1:7" x14ac:dyDescent="0.15">
      <c r="A433" t="str">
        <f>HYPERLINK("./new_k5/query_cmdrels_weight_analyze/0.4_0.2_0.4/ul_92560.xlsx","ul_92560")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0.7</v>
      </c>
    </row>
    <row r="434" spans="1:7" x14ac:dyDescent="0.15">
      <c r="A434" t="str">
        <f>HYPERLINK("./new_k5/query_cmdrels_weight_analyze/0.4_0.2_0.4/ul_92799.xlsx","ul_92799")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0.27777777777777768</v>
      </c>
      <c r="F434">
        <v>0.53611111111111109</v>
      </c>
      <c r="G434">
        <v>0.53611111111111109</v>
      </c>
    </row>
    <row r="435" spans="1:7" x14ac:dyDescent="0.15">
      <c r="A435" t="str">
        <f>HYPERLINK("./new_k5/query_cmdrels_weight_analyze/0.4_0.2_0.4/ul_93139.xlsx","ul_93139")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HYPERLINK("./new_k5/query_cmdrels_weight_analyze/0.4_0.2_0.4/ul_98461.xlsx","ul_98461")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441"/>
  <sheetViews>
    <sheetView tabSelected="1" workbookViewId="0">
      <selection activeCell="N451" sqref="H1:N451"/>
    </sheetView>
  </sheetViews>
  <sheetFormatPr defaultRowHeight="13.5" x14ac:dyDescent="0.15"/>
  <cols>
    <col min="1" max="1" width="33.875" bestFit="1" customWidth="1"/>
    <col min="2" max="2" width="17.75" bestFit="1" customWidth="1"/>
    <col min="3" max="3" width="18.875" bestFit="1" customWidth="1"/>
    <col min="4" max="4" width="17.75" bestFit="1" customWidth="1"/>
    <col min="5" max="5" width="18.875" bestFit="1" customWidth="1"/>
    <col min="6" max="6" width="17.75" bestFit="1" customWidth="1"/>
    <col min="7" max="7" width="18.875" bestFit="1" customWidth="1"/>
  </cols>
  <sheetData>
    <row r="1" spans="1:12" x14ac:dyDescent="0.15">
      <c r="A1" s="2" t="s">
        <v>0</v>
      </c>
      <c r="B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 spans="1:12" ht="14.25" thickBot="1" x14ac:dyDescent="0.2">
      <c r="A2" s="2" t="s">
        <v>7</v>
      </c>
      <c r="B2" s="2">
        <f>SUM(B3:B436)/COUNT(B3:B436)</f>
        <v>0.20488542435547064</v>
      </c>
      <c r="C2" s="3">
        <f t="shared" ref="C2:G2" si="0">SUM(C3:C436)/COUNT(C3:C436)</f>
        <v>0.21042360737061214</v>
      </c>
      <c r="D2" s="2">
        <f t="shared" si="0"/>
        <v>0.32666053224808994</v>
      </c>
      <c r="E2" s="3">
        <f t="shared" si="0"/>
        <v>0.36626434135074648</v>
      </c>
      <c r="F2" s="2">
        <f t="shared" si="0"/>
        <v>0.35496999704084964</v>
      </c>
      <c r="G2" s="3">
        <f t="shared" si="0"/>
        <v>0.43477781712228697</v>
      </c>
    </row>
    <row r="3" spans="1:12" x14ac:dyDescent="0.15">
      <c r="A3" s="2" t="str">
        <f>HYPERLINK("./new_k5/query_cmdrels_weight_analyze/0.4_0.3_0.3/au_102733.xlsx","au_102733")</f>
        <v>au_102733</v>
      </c>
      <c r="B3" s="2">
        <v>0.25</v>
      </c>
      <c r="C3" s="2">
        <v>0.25</v>
      </c>
      <c r="D3" s="2">
        <v>0.5</v>
      </c>
      <c r="E3" s="2">
        <v>0.25</v>
      </c>
      <c r="F3" s="2">
        <v>0.5</v>
      </c>
      <c r="G3" s="2">
        <v>0.25</v>
      </c>
      <c r="H3" s="6"/>
      <c r="I3" s="6"/>
      <c r="J3" s="6"/>
      <c r="K3" s="6"/>
      <c r="L3" s="6"/>
    </row>
    <row r="4" spans="1:12" x14ac:dyDescent="0.15">
      <c r="A4" s="2" t="str">
        <f>HYPERLINK("./new_k5/query_cmdrels_weight_analyze/0.4_0.3_0.3/au_1029436.xlsx","au_1029436")</f>
        <v>au_1029436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4"/>
      <c r="I4" s="4"/>
      <c r="J4" s="4"/>
      <c r="K4" s="4"/>
      <c r="L4" s="4"/>
    </row>
    <row r="5" spans="1:12" x14ac:dyDescent="0.15">
      <c r="A5" s="2" t="str">
        <f>HYPERLINK("./new_k5/query_cmdrels_weight_analyze/0.4_0.3_0.3/au_1029502.xlsx","au_1029502")</f>
        <v>au_1029502</v>
      </c>
      <c r="B5" s="2">
        <v>0.25</v>
      </c>
      <c r="C5" s="2">
        <v>0.25</v>
      </c>
      <c r="D5" s="2">
        <v>0.25</v>
      </c>
      <c r="E5" s="2">
        <v>0.25</v>
      </c>
      <c r="F5" s="2">
        <v>0.375</v>
      </c>
      <c r="G5" s="2">
        <v>0.25</v>
      </c>
      <c r="H5" s="4"/>
      <c r="I5" s="4"/>
      <c r="J5" s="4"/>
      <c r="K5" s="4"/>
      <c r="L5" s="4"/>
    </row>
    <row r="6" spans="1:12" x14ac:dyDescent="0.15">
      <c r="A6" s="2" t="str">
        <f>HYPERLINK("./new_k5/query_cmdrels_weight_analyze/0.4_0.3_0.3/au_1029531.xlsx","au_1029531")</f>
        <v>au_1029531</v>
      </c>
      <c r="B6" s="2">
        <v>0.33333333333333331</v>
      </c>
      <c r="C6" s="2">
        <v>0.33333333333333331</v>
      </c>
      <c r="D6" s="2">
        <v>0.33333333333333331</v>
      </c>
      <c r="E6" s="2">
        <v>0.33333333333333331</v>
      </c>
      <c r="F6" s="2">
        <v>0.46666666666666662</v>
      </c>
      <c r="G6" s="2">
        <v>0.33333333333333331</v>
      </c>
      <c r="H6" s="4"/>
      <c r="I6" s="4"/>
      <c r="J6" s="4"/>
      <c r="K6" s="4"/>
      <c r="L6" s="4"/>
    </row>
    <row r="7" spans="1:12" x14ac:dyDescent="0.15">
      <c r="A7" s="2" t="str">
        <f>HYPERLINK("./new_k5/query_cmdrels_weight_analyze/0.4_0.3_0.3/au_104542.xlsx","au_104542")</f>
        <v>au_104542</v>
      </c>
      <c r="B7" s="2">
        <v>0.125</v>
      </c>
      <c r="C7" s="2">
        <v>0.125</v>
      </c>
      <c r="D7" s="2">
        <v>0.25</v>
      </c>
      <c r="E7" s="2">
        <v>0.20833333333333329</v>
      </c>
      <c r="F7" s="2">
        <v>0.25</v>
      </c>
      <c r="G7" s="2">
        <v>0.30208333333333331</v>
      </c>
      <c r="H7" s="4"/>
      <c r="I7" s="4"/>
      <c r="J7" s="4"/>
      <c r="K7" s="4"/>
      <c r="L7" s="4"/>
    </row>
    <row r="8" spans="1:12" x14ac:dyDescent="0.15">
      <c r="A8" s="2" t="str">
        <f>HYPERLINK("./new_k5/query_cmdrels_weight_analyze/0.4_0.3_0.3/au_109070.xlsx","au_109070")</f>
        <v>au_109070</v>
      </c>
      <c r="B8" s="2">
        <v>0</v>
      </c>
      <c r="C8" s="2">
        <v>0</v>
      </c>
      <c r="D8" s="2">
        <v>0.23333333333333331</v>
      </c>
      <c r="E8" s="2">
        <v>0</v>
      </c>
      <c r="F8" s="2">
        <v>0.3833333333333333</v>
      </c>
      <c r="G8" s="2">
        <v>0.05</v>
      </c>
      <c r="H8" s="4"/>
      <c r="I8" s="4"/>
      <c r="J8" s="4"/>
      <c r="K8" s="4"/>
      <c r="L8" s="4"/>
    </row>
    <row r="9" spans="1:12" x14ac:dyDescent="0.15">
      <c r="A9" s="2" t="str">
        <f>HYPERLINK("./new_k5/query_cmdrels_weight_analyze/0.4_0.3_0.3/au_109381.xlsx","au_109381")</f>
        <v>au_109381</v>
      </c>
      <c r="B9" s="2">
        <v>0</v>
      </c>
      <c r="C9" s="2">
        <v>0</v>
      </c>
      <c r="D9" s="2">
        <v>0.25</v>
      </c>
      <c r="E9" s="2">
        <v>0.25</v>
      </c>
      <c r="F9" s="2">
        <v>0.25</v>
      </c>
      <c r="G9" s="2">
        <v>0.25</v>
      </c>
      <c r="H9" s="4"/>
      <c r="I9" s="4"/>
      <c r="J9" s="4"/>
      <c r="K9" s="4"/>
      <c r="L9" s="4"/>
    </row>
    <row r="10" spans="1:12" x14ac:dyDescent="0.15">
      <c r="A10" s="2" t="str">
        <f>HYPERLINK("./new_k5/query_cmdrels_weight_analyze/0.4_0.3_0.3/au_110477.xlsx","au_110477")</f>
        <v>au_110477</v>
      </c>
      <c r="B10" s="2">
        <v>0.25</v>
      </c>
      <c r="C10" s="2">
        <v>0.25</v>
      </c>
      <c r="D10" s="2">
        <v>0.5</v>
      </c>
      <c r="E10" s="2">
        <v>0.75</v>
      </c>
      <c r="F10" s="2">
        <v>0.5</v>
      </c>
      <c r="G10" s="2">
        <v>0.75</v>
      </c>
      <c r="H10" s="4"/>
      <c r="I10" s="4"/>
      <c r="J10" s="4"/>
      <c r="K10" s="4"/>
      <c r="L10" s="4"/>
    </row>
    <row r="11" spans="1:12" x14ac:dyDescent="0.15">
      <c r="A11" s="2" t="str">
        <f>HYPERLINK("./new_k5/query_cmdrels_weight_analyze/0.4_0.3_0.3/au_111678.xlsx","au_111678")</f>
        <v>au_111678</v>
      </c>
      <c r="B11" s="2">
        <v>0</v>
      </c>
      <c r="C11" s="2">
        <v>0.33333333333333331</v>
      </c>
      <c r="D11" s="2">
        <v>0.1111111111111111</v>
      </c>
      <c r="E11" s="2">
        <v>0.33333333333333331</v>
      </c>
      <c r="F11" s="2">
        <v>0.1111111111111111</v>
      </c>
      <c r="G11" s="2">
        <v>0.33333333333333331</v>
      </c>
      <c r="H11" s="4"/>
      <c r="I11" s="4"/>
      <c r="J11" s="4"/>
      <c r="K11" s="4"/>
      <c r="L11" s="4"/>
    </row>
    <row r="12" spans="1:12" x14ac:dyDescent="0.15">
      <c r="A12" s="2" t="str">
        <f>HYPERLINK("./new_k5/query_cmdrels_weight_analyze/0.4_0.3_0.3/au_112512.xlsx","au_112512")</f>
        <v>au_112512</v>
      </c>
      <c r="B12" s="2">
        <v>0.25</v>
      </c>
      <c r="C12" s="2">
        <v>0.25</v>
      </c>
      <c r="D12" s="2">
        <v>0.25</v>
      </c>
      <c r="E12" s="2">
        <v>0.5</v>
      </c>
      <c r="F12" s="2">
        <v>0.375</v>
      </c>
      <c r="G12" s="2">
        <v>0.5</v>
      </c>
      <c r="H12" s="4"/>
      <c r="I12" s="4"/>
      <c r="J12" s="4"/>
      <c r="K12" s="4"/>
      <c r="L12" s="4"/>
    </row>
    <row r="13" spans="1:12" x14ac:dyDescent="0.15">
      <c r="A13" s="2" t="str">
        <f>HYPERLINK("./new_k5/query_cmdrels_weight_analyze/0.4_0.3_0.3/au_115369.xlsx","au_115369")</f>
        <v>au_115369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4"/>
      <c r="I13" s="4"/>
      <c r="J13" s="4"/>
      <c r="K13" s="4"/>
      <c r="L13" s="4"/>
    </row>
    <row r="14" spans="1:12" x14ac:dyDescent="0.15">
      <c r="A14" s="2" t="str">
        <f>HYPERLINK("./new_k5/query_cmdrels_weight_analyze/0.4_0.3_0.3/au_11789.xlsx","au_11789")</f>
        <v>au_11789</v>
      </c>
      <c r="B14" s="2">
        <v>0</v>
      </c>
      <c r="C14" s="2">
        <v>0.5</v>
      </c>
      <c r="D14" s="2">
        <v>0</v>
      </c>
      <c r="E14" s="2">
        <v>0.5</v>
      </c>
      <c r="F14" s="2">
        <v>0</v>
      </c>
      <c r="G14" s="2">
        <v>0.5</v>
      </c>
      <c r="H14" s="4"/>
      <c r="I14" s="4"/>
      <c r="J14" s="4"/>
      <c r="K14" s="4"/>
      <c r="L14" s="4"/>
    </row>
    <row r="15" spans="1:12" x14ac:dyDescent="0.15">
      <c r="A15" s="2" t="str">
        <f>HYPERLINK("./new_k5/query_cmdrels_weight_analyze/0.4_0.3_0.3/au_117950.xlsx","au_117950")</f>
        <v>au_117950</v>
      </c>
      <c r="B15" s="2">
        <v>0</v>
      </c>
      <c r="C15" s="2">
        <v>0</v>
      </c>
      <c r="D15" s="2">
        <v>0.16666666666666671</v>
      </c>
      <c r="E15" s="2">
        <v>0</v>
      </c>
      <c r="F15" s="2">
        <v>0.16666666666666671</v>
      </c>
      <c r="G15" s="2">
        <v>0.125</v>
      </c>
      <c r="H15" s="4"/>
      <c r="I15" s="4"/>
      <c r="J15" s="4"/>
      <c r="K15" s="4"/>
      <c r="L15" s="4"/>
    </row>
    <row r="16" spans="1:12" x14ac:dyDescent="0.15">
      <c r="A16" s="2" t="str">
        <f>HYPERLINK("./new_k5/query_cmdrels_weight_analyze/0.4_0.3_0.3/au_122113.xlsx","au_122113")</f>
        <v>au_122113</v>
      </c>
      <c r="B16" s="2">
        <v>0.25</v>
      </c>
      <c r="C16" s="2">
        <v>0</v>
      </c>
      <c r="D16" s="2">
        <v>0.25</v>
      </c>
      <c r="E16" s="2">
        <v>0.29166666666666657</v>
      </c>
      <c r="F16" s="2">
        <v>0.25</v>
      </c>
      <c r="G16" s="2">
        <v>0.29166666666666657</v>
      </c>
      <c r="H16" s="4"/>
      <c r="I16" s="4"/>
      <c r="J16" s="4"/>
      <c r="K16" s="4"/>
      <c r="L16" s="4"/>
    </row>
    <row r="17" spans="1:12" x14ac:dyDescent="0.15">
      <c r="A17" s="2" t="str">
        <f>HYPERLINK("./new_k5/query_cmdrels_weight_analyze/0.4_0.3_0.3/au_123798.xlsx","au_123798")</f>
        <v>au_123798</v>
      </c>
      <c r="B17" s="2">
        <v>0</v>
      </c>
      <c r="C17" s="2">
        <v>0</v>
      </c>
      <c r="D17" s="2">
        <v>5.5555555555555552E-2</v>
      </c>
      <c r="E17" s="2">
        <v>8.3333333333333329E-2</v>
      </c>
      <c r="F17" s="2">
        <v>0.23888888888888879</v>
      </c>
      <c r="G17" s="2">
        <v>0.26666666666666672</v>
      </c>
      <c r="H17" s="4"/>
      <c r="I17" s="4"/>
      <c r="J17" s="4"/>
      <c r="K17" s="4"/>
      <c r="L17" s="4"/>
    </row>
    <row r="18" spans="1:12" x14ac:dyDescent="0.15">
      <c r="A18" s="2" t="str">
        <f>HYPERLINK("./new_k5/query_cmdrels_weight_analyze/0.4_0.3_0.3/au_125257.xlsx","au_125257")</f>
        <v>au_125257</v>
      </c>
      <c r="B18" s="2">
        <v>0.25</v>
      </c>
      <c r="C18" s="2">
        <v>0.25</v>
      </c>
      <c r="D18" s="2">
        <v>0.41666666666666657</v>
      </c>
      <c r="E18" s="2">
        <v>0.5</v>
      </c>
      <c r="F18" s="2">
        <v>0.56666666666666665</v>
      </c>
      <c r="G18" s="2">
        <v>0.5</v>
      </c>
      <c r="H18" s="4"/>
      <c r="I18" s="4"/>
      <c r="J18" s="4"/>
      <c r="K18" s="4"/>
      <c r="L18" s="4"/>
    </row>
    <row r="19" spans="1:12" x14ac:dyDescent="0.15">
      <c r="A19" s="2" t="str">
        <f>HYPERLINK("./new_k5/query_cmdrels_weight_analyze/0.4_0.3_0.3/au_126153.xlsx","au_126153")</f>
        <v>au_126153</v>
      </c>
      <c r="B19" s="2">
        <v>0.16666666666666671</v>
      </c>
      <c r="C19" s="2">
        <v>0.16666666666666671</v>
      </c>
      <c r="D19" s="2">
        <v>0.33333333333333331</v>
      </c>
      <c r="E19" s="2">
        <v>0.27777777777777768</v>
      </c>
      <c r="F19" s="2">
        <v>0.45833333333333331</v>
      </c>
      <c r="G19" s="2">
        <v>0.37777777777777782</v>
      </c>
      <c r="H19" s="4"/>
      <c r="I19" s="4"/>
      <c r="J19" s="4"/>
      <c r="K19" s="4"/>
      <c r="L19" s="4"/>
    </row>
    <row r="20" spans="1:12" x14ac:dyDescent="0.15">
      <c r="A20" s="2" t="str">
        <f>HYPERLINK("./new_k5/query_cmdrels_weight_analyze/0.4_0.3_0.3/au_127326.xlsx","au_127326")</f>
        <v>au_127326</v>
      </c>
      <c r="B20" s="2">
        <v>0.5</v>
      </c>
      <c r="C20" s="2">
        <v>0.5</v>
      </c>
      <c r="D20" s="2">
        <v>0.5</v>
      </c>
      <c r="E20" s="2">
        <v>0.5</v>
      </c>
      <c r="F20" s="2">
        <v>0.5</v>
      </c>
      <c r="G20" s="2">
        <v>0.5</v>
      </c>
      <c r="H20" s="4"/>
      <c r="I20" s="4"/>
      <c r="J20" s="4"/>
      <c r="K20" s="4"/>
      <c r="L20" s="4"/>
    </row>
    <row r="21" spans="1:12" x14ac:dyDescent="0.15">
      <c r="A21" s="2" t="str">
        <f>HYPERLINK("./new_k5/query_cmdrels_weight_analyze/0.4_0.3_0.3/au_128463.xlsx","au_128463")</f>
        <v>au_128463</v>
      </c>
      <c r="B21" s="2">
        <v>0.33333333333333331</v>
      </c>
      <c r="C21" s="2">
        <v>0.33333333333333331</v>
      </c>
      <c r="D21" s="2">
        <v>1</v>
      </c>
      <c r="E21" s="2">
        <v>0.66666666666666663</v>
      </c>
      <c r="F21" s="2">
        <v>1</v>
      </c>
      <c r="G21" s="2">
        <v>0.66666666666666663</v>
      </c>
      <c r="H21" s="4"/>
      <c r="I21" s="4"/>
      <c r="J21" s="4"/>
      <c r="K21" s="4"/>
      <c r="L21" s="4"/>
    </row>
    <row r="22" spans="1:12" x14ac:dyDescent="0.15">
      <c r="A22" s="2" t="str">
        <f>HYPERLINK("./new_k5/query_cmdrels_weight_analyze/0.4_0.3_0.3/au_130393.xlsx","au_130393")</f>
        <v>au_130393</v>
      </c>
      <c r="B22" s="2">
        <v>0</v>
      </c>
      <c r="C22" s="2">
        <v>0</v>
      </c>
      <c r="D22" s="2">
        <v>0.125</v>
      </c>
      <c r="E22" s="2">
        <v>0.125</v>
      </c>
      <c r="F22" s="2">
        <v>0.125</v>
      </c>
      <c r="G22" s="2">
        <v>0.25</v>
      </c>
      <c r="H22" s="4"/>
      <c r="I22" s="4"/>
      <c r="J22" s="4"/>
      <c r="K22" s="4"/>
      <c r="L22" s="4"/>
    </row>
    <row r="23" spans="1:12" x14ac:dyDescent="0.15">
      <c r="A23" s="2" t="str">
        <f>HYPERLINK("./new_k5/query_cmdrels_weight_analyze/0.4_0.3_0.3/au_131570.xlsx","au_131570")</f>
        <v>au_131570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4"/>
      <c r="I23" s="4"/>
      <c r="J23" s="4"/>
      <c r="K23" s="4"/>
      <c r="L23" s="4"/>
    </row>
    <row r="24" spans="1:12" x14ac:dyDescent="0.15">
      <c r="A24" s="2" t="str">
        <f>HYPERLINK("./new_k5/query_cmdrels_weight_analyze/0.4_0.3_0.3/au_133318.xlsx","au_133318")</f>
        <v>au_133318</v>
      </c>
      <c r="B24" s="2">
        <v>0</v>
      </c>
      <c r="C24" s="2">
        <v>0.25</v>
      </c>
      <c r="D24" s="2">
        <v>0</v>
      </c>
      <c r="E24" s="2">
        <v>0.41666666666666657</v>
      </c>
      <c r="F24" s="2">
        <v>0</v>
      </c>
      <c r="G24" s="2">
        <v>0.41666666666666657</v>
      </c>
      <c r="H24" s="4"/>
      <c r="I24" s="4"/>
      <c r="J24" s="4"/>
      <c r="K24" s="4"/>
      <c r="L24" s="4"/>
    </row>
    <row r="25" spans="1:12" x14ac:dyDescent="0.15">
      <c r="A25" s="2" t="str">
        <f>HYPERLINK("./new_k5/query_cmdrels_weight_analyze/0.4_0.3_0.3/au_133343.xlsx","au_133343")</f>
        <v>au_133343</v>
      </c>
      <c r="B25" s="2">
        <v>0</v>
      </c>
      <c r="C25" s="2">
        <v>0</v>
      </c>
      <c r="D25" s="2">
        <v>0</v>
      </c>
      <c r="E25" s="2">
        <v>0.1111111111111111</v>
      </c>
      <c r="F25" s="2">
        <v>0</v>
      </c>
      <c r="G25" s="2">
        <v>0.27777777777777768</v>
      </c>
      <c r="H25" s="4"/>
      <c r="I25" s="4"/>
      <c r="J25" s="4"/>
      <c r="K25" s="4"/>
      <c r="L25" s="4"/>
    </row>
    <row r="26" spans="1:12" x14ac:dyDescent="0.15">
      <c r="A26" s="2" t="str">
        <f>HYPERLINK("./new_k5/query_cmdrels_weight_analyze/0.4_0.3_0.3/au_133389.xlsx","au_133389")</f>
        <v>au_133389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4"/>
      <c r="I26" s="4"/>
      <c r="J26" s="4"/>
      <c r="K26" s="4"/>
      <c r="L26" s="4"/>
    </row>
    <row r="27" spans="1:12" x14ac:dyDescent="0.15">
      <c r="A27" s="2" t="str">
        <f>HYPERLINK("./new_k5/query_cmdrels_weight_analyze/0.4_0.3_0.3/au_141277.xlsx","au_141277")</f>
        <v>au_141277</v>
      </c>
      <c r="B27" s="2">
        <v>0.16666666666666671</v>
      </c>
      <c r="C27" s="2">
        <v>0.16666666666666671</v>
      </c>
      <c r="D27" s="2">
        <v>0.16666666666666671</v>
      </c>
      <c r="E27" s="2">
        <v>0.16666666666666671</v>
      </c>
      <c r="F27" s="2">
        <v>0.16666666666666671</v>
      </c>
      <c r="G27" s="2">
        <v>0.16666666666666671</v>
      </c>
      <c r="H27" s="4"/>
      <c r="I27" s="4"/>
      <c r="J27" s="4"/>
      <c r="K27" s="4"/>
      <c r="L27" s="4"/>
    </row>
    <row r="28" spans="1:12" x14ac:dyDescent="0.15">
      <c r="A28" s="2" t="str">
        <f>HYPERLINK("./new_k5/query_cmdrels_weight_analyze/0.4_0.3_0.3/au_143819.xlsx","au_143819")</f>
        <v>au_143819</v>
      </c>
      <c r="B28" s="2">
        <v>0.14285714285714279</v>
      </c>
      <c r="C28" s="2">
        <v>0.14285714285714279</v>
      </c>
      <c r="D28" s="2">
        <v>0.2857142857142857</v>
      </c>
      <c r="E28" s="2">
        <v>0.23809523809523811</v>
      </c>
      <c r="F28" s="2">
        <v>0.37142857142857139</v>
      </c>
      <c r="G28" s="2">
        <v>0.23809523809523811</v>
      </c>
      <c r="H28" s="4"/>
      <c r="I28" s="4"/>
      <c r="J28" s="4"/>
      <c r="K28" s="4"/>
      <c r="L28" s="4"/>
    </row>
    <row r="29" spans="1:12" x14ac:dyDescent="0.15">
      <c r="A29" s="2" t="str">
        <f>HYPERLINK("./new_k5/query_cmdrels_weight_analyze/0.4_0.3_0.3/au_145935.xlsx","au_145935")</f>
        <v>au_145935</v>
      </c>
      <c r="B29" s="2">
        <v>0.33333333333333331</v>
      </c>
      <c r="C29" s="2">
        <v>0.33333333333333331</v>
      </c>
      <c r="D29" s="2">
        <v>0.55555555555555547</v>
      </c>
      <c r="E29" s="2">
        <v>0.55555555555555547</v>
      </c>
      <c r="F29" s="2">
        <v>0.55555555555555547</v>
      </c>
      <c r="G29" s="2">
        <v>0.55555555555555547</v>
      </c>
      <c r="H29" s="4"/>
      <c r="I29" s="4"/>
      <c r="J29" s="4"/>
      <c r="K29" s="4"/>
      <c r="L29" s="4"/>
    </row>
    <row r="30" spans="1:12" x14ac:dyDescent="0.15">
      <c r="A30" s="2" t="str">
        <f>HYPERLINK("./new_k5/query_cmdrels_weight_analyze/0.4_0.3_0.3/au_147241.xlsx","au_147241")</f>
        <v>au_147241</v>
      </c>
      <c r="B30" s="2">
        <v>0</v>
      </c>
      <c r="C30" s="2">
        <v>0</v>
      </c>
      <c r="D30" s="2">
        <v>0.29166666666666657</v>
      </c>
      <c r="E30" s="2">
        <v>0.29166666666666657</v>
      </c>
      <c r="F30" s="2">
        <v>0.29166666666666657</v>
      </c>
      <c r="G30" s="2">
        <v>0.47916666666666657</v>
      </c>
      <c r="H30" s="4"/>
      <c r="I30" s="4"/>
      <c r="J30" s="4"/>
      <c r="K30" s="4"/>
      <c r="L30" s="4"/>
    </row>
    <row r="31" spans="1:12" x14ac:dyDescent="0.15">
      <c r="A31" s="2" t="str">
        <f>HYPERLINK("./new_k5/query_cmdrels_weight_analyze/0.4_0.3_0.3/au_147800.xlsx","au_147800")</f>
        <v>au_147800</v>
      </c>
      <c r="B31" s="2">
        <v>0</v>
      </c>
      <c r="C31" s="2">
        <v>0</v>
      </c>
      <c r="D31" s="2">
        <v>0.1111111111111111</v>
      </c>
      <c r="E31" s="2">
        <v>0.1111111111111111</v>
      </c>
      <c r="F31" s="2">
        <v>0.1111111111111111</v>
      </c>
      <c r="G31" s="2">
        <v>0.1111111111111111</v>
      </c>
      <c r="H31" s="4"/>
      <c r="I31" s="4"/>
      <c r="J31" s="4"/>
      <c r="K31" s="4"/>
      <c r="L31" s="4"/>
    </row>
    <row r="32" spans="1:12" x14ac:dyDescent="0.15">
      <c r="A32" s="2" t="str">
        <f>HYPERLINK("./new_k5/query_cmdrels_weight_analyze/0.4_0.3_0.3/au_148321.xlsx","au_148321")</f>
        <v>au_148321</v>
      </c>
      <c r="B32" s="2">
        <v>0.16666666666666671</v>
      </c>
      <c r="C32" s="2">
        <v>0.16666666666666671</v>
      </c>
      <c r="D32" s="2">
        <v>0.16666666666666671</v>
      </c>
      <c r="E32" s="2">
        <v>0.27777777777777768</v>
      </c>
      <c r="F32" s="2">
        <v>0.16666666666666671</v>
      </c>
      <c r="G32" s="2">
        <v>0.40277777777777768</v>
      </c>
      <c r="H32" s="4"/>
      <c r="I32" s="4"/>
      <c r="J32" s="4"/>
      <c r="K32" s="4"/>
      <c r="L32" s="4"/>
    </row>
    <row r="33" spans="1:12" x14ac:dyDescent="0.15">
      <c r="A33" s="2" t="str">
        <f>HYPERLINK("./new_k5/query_cmdrels_weight_analyze/0.4_0.3_0.3/au_148638.xlsx","au_148638")</f>
        <v>au_148638</v>
      </c>
      <c r="B33" s="2">
        <v>1</v>
      </c>
      <c r="C33" s="2">
        <v>0</v>
      </c>
      <c r="D33" s="2">
        <v>1</v>
      </c>
      <c r="E33" s="2">
        <v>0</v>
      </c>
      <c r="F33" s="2">
        <v>1</v>
      </c>
      <c r="G33" s="2">
        <v>0</v>
      </c>
      <c r="H33" s="4"/>
      <c r="I33" s="4"/>
      <c r="J33" s="4"/>
      <c r="K33" s="4"/>
      <c r="L33" s="4"/>
    </row>
    <row r="34" spans="1:12" x14ac:dyDescent="0.15">
      <c r="A34" s="2" t="str">
        <f>HYPERLINK("./new_k5/query_cmdrels_weight_analyze/0.4_0.3_0.3/au_151049.xlsx","au_151049")</f>
        <v>au_151049</v>
      </c>
      <c r="B34" s="2">
        <v>0.33333333333333331</v>
      </c>
      <c r="C34" s="2">
        <v>0.33333333333333331</v>
      </c>
      <c r="D34" s="2">
        <v>0.66666666666666663</v>
      </c>
      <c r="E34" s="2">
        <v>0.66666666666666663</v>
      </c>
      <c r="F34" s="2">
        <v>0.66666666666666663</v>
      </c>
      <c r="G34" s="2">
        <v>0.66666666666666663</v>
      </c>
      <c r="H34" s="4"/>
      <c r="I34" s="4"/>
      <c r="J34" s="4"/>
      <c r="K34" s="4"/>
      <c r="L34" s="4"/>
    </row>
    <row r="35" spans="1:12" x14ac:dyDescent="0.15">
      <c r="A35" s="2" t="str">
        <f>HYPERLINK("./new_k5/query_cmdrels_weight_analyze/0.4_0.3_0.3/au_151941.xlsx","au_151941")</f>
        <v>au_151941</v>
      </c>
      <c r="B35" s="2">
        <v>0.125</v>
      </c>
      <c r="C35" s="2">
        <v>0.125</v>
      </c>
      <c r="D35" s="2">
        <v>0.375</v>
      </c>
      <c r="E35" s="2">
        <v>0.375</v>
      </c>
      <c r="F35" s="2">
        <v>0.5</v>
      </c>
      <c r="G35" s="2">
        <v>0.625</v>
      </c>
      <c r="H35" s="4"/>
      <c r="I35" s="4"/>
      <c r="J35" s="4"/>
      <c r="K35" s="4"/>
      <c r="L35" s="4"/>
    </row>
    <row r="36" spans="1:12" x14ac:dyDescent="0.15">
      <c r="A36" s="2" t="str">
        <f>HYPERLINK("./new_k5/query_cmdrels_weight_analyze/0.4_0.3_0.3/au_152297.xlsx","au_152297")</f>
        <v>au_152297</v>
      </c>
      <c r="B36" s="2">
        <v>0</v>
      </c>
      <c r="C36" s="2">
        <v>0</v>
      </c>
      <c r="D36" s="2">
        <v>7.1428571428571425E-2</v>
      </c>
      <c r="E36" s="2">
        <v>0.16666666666666671</v>
      </c>
      <c r="F36" s="2">
        <v>7.1428571428571425E-2</v>
      </c>
      <c r="G36" s="2">
        <v>0.25238095238095237</v>
      </c>
      <c r="H36" s="4"/>
      <c r="I36" s="4"/>
      <c r="J36" s="4"/>
      <c r="K36" s="4"/>
      <c r="L36" s="4"/>
    </row>
    <row r="37" spans="1:12" x14ac:dyDescent="0.15">
      <c r="A37" s="2" t="str">
        <f>HYPERLINK("./new_k5/query_cmdrels_weight_analyze/0.4_0.3_0.3/au_153976.xlsx","au_153976")</f>
        <v>au_153976</v>
      </c>
      <c r="B37" s="2">
        <v>0.16666666666666671</v>
      </c>
      <c r="C37" s="2">
        <v>0.16666666666666671</v>
      </c>
      <c r="D37" s="2">
        <v>0.33333333333333331</v>
      </c>
      <c r="E37" s="2">
        <v>0.27777777777777768</v>
      </c>
      <c r="F37" s="2">
        <v>0.33333333333333331</v>
      </c>
      <c r="G37" s="2">
        <v>0.37777777777777782</v>
      </c>
      <c r="H37" s="4"/>
      <c r="I37" s="4"/>
      <c r="J37" s="4"/>
      <c r="K37" s="4"/>
      <c r="L37" s="4"/>
    </row>
    <row r="38" spans="1:12" x14ac:dyDescent="0.15">
      <c r="A38" s="2" t="str">
        <f>HYPERLINK("./new_k5/query_cmdrels_weight_analyze/0.4_0.3_0.3/au_154431.xlsx","au_154431")</f>
        <v>au_154431</v>
      </c>
      <c r="B38" s="2">
        <v>0</v>
      </c>
      <c r="C38" s="2">
        <v>0.33333333333333331</v>
      </c>
      <c r="D38" s="2">
        <v>0</v>
      </c>
      <c r="E38" s="2">
        <v>0.66666666666666663</v>
      </c>
      <c r="F38" s="2">
        <v>0</v>
      </c>
      <c r="G38" s="2">
        <v>0.66666666666666663</v>
      </c>
      <c r="H38" s="4"/>
      <c r="I38" s="4"/>
      <c r="J38" s="4"/>
      <c r="K38" s="4"/>
      <c r="L38" s="4"/>
    </row>
    <row r="39" spans="1:12" x14ac:dyDescent="0.15">
      <c r="A39" s="2" t="str">
        <f>HYPERLINK("./new_k5/query_cmdrels_weight_analyze/0.4_0.3_0.3/au_159708.xlsx","au_159708")</f>
        <v>au_159708</v>
      </c>
      <c r="B39" s="2">
        <v>0.33333333333333331</v>
      </c>
      <c r="C39" s="2">
        <v>0.33333333333333331</v>
      </c>
      <c r="D39" s="2">
        <v>0.33333333333333331</v>
      </c>
      <c r="E39" s="2">
        <v>0.33333333333333331</v>
      </c>
      <c r="F39" s="2">
        <v>0.33333333333333331</v>
      </c>
      <c r="G39" s="2">
        <v>0.33333333333333331</v>
      </c>
      <c r="H39" s="4"/>
      <c r="I39" s="4"/>
      <c r="J39" s="4"/>
      <c r="K39" s="4"/>
      <c r="L39" s="4"/>
    </row>
    <row r="40" spans="1:12" x14ac:dyDescent="0.15">
      <c r="A40" s="2" t="str">
        <f>HYPERLINK("./new_k5/query_cmdrels_weight_analyze/0.4_0.3_0.3/au_160869.xlsx","au_160869")</f>
        <v>au_160869</v>
      </c>
      <c r="B40" s="2">
        <v>0.25</v>
      </c>
      <c r="C40" s="2">
        <v>0.25</v>
      </c>
      <c r="D40" s="2">
        <v>0.25</v>
      </c>
      <c r="E40" s="2">
        <v>0.25</v>
      </c>
      <c r="F40" s="2">
        <v>0.25</v>
      </c>
      <c r="G40" s="2">
        <v>0.25</v>
      </c>
      <c r="H40" s="4"/>
      <c r="I40" s="4"/>
      <c r="J40" s="4"/>
      <c r="K40" s="4"/>
      <c r="L40" s="4"/>
    </row>
    <row r="41" spans="1:12" x14ac:dyDescent="0.15">
      <c r="A41" s="2" t="str">
        <f>HYPERLINK("./new_k5/query_cmdrels_weight_analyze/0.4_0.3_0.3/au_161313.xlsx","au_161313")</f>
        <v>au_161313</v>
      </c>
      <c r="B41" s="2">
        <v>0.5</v>
      </c>
      <c r="C41" s="2">
        <v>0</v>
      </c>
      <c r="D41" s="2">
        <v>0.5</v>
      </c>
      <c r="E41" s="2">
        <v>0</v>
      </c>
      <c r="F41" s="2">
        <v>0.5</v>
      </c>
      <c r="G41" s="2">
        <v>0.125</v>
      </c>
      <c r="H41" s="4"/>
      <c r="I41" s="4"/>
      <c r="J41" s="4"/>
      <c r="K41" s="4"/>
      <c r="L41" s="4"/>
    </row>
    <row r="42" spans="1:12" x14ac:dyDescent="0.15">
      <c r="A42" s="2" t="str">
        <f>HYPERLINK("./new_k5/query_cmdrels_weight_analyze/0.4_0.3_0.3/au_162075.xlsx","au_162075")</f>
        <v>au_162075</v>
      </c>
      <c r="B42" s="2">
        <v>0.25</v>
      </c>
      <c r="C42" s="2">
        <v>0.25</v>
      </c>
      <c r="D42" s="2">
        <v>0.5</v>
      </c>
      <c r="E42" s="2">
        <v>0.5</v>
      </c>
      <c r="F42" s="2">
        <v>0.5</v>
      </c>
      <c r="G42" s="2">
        <v>0.5</v>
      </c>
      <c r="H42" s="4"/>
      <c r="I42" s="4"/>
      <c r="J42" s="4"/>
      <c r="K42" s="4"/>
      <c r="L42" s="4"/>
    </row>
    <row r="43" spans="1:12" x14ac:dyDescent="0.15">
      <c r="A43" s="2" t="str">
        <f>HYPERLINK("./new_k5/query_cmdrels_weight_analyze/0.4_0.3_0.3/au_16277.xlsx","au_16277")</f>
        <v>au_16277</v>
      </c>
      <c r="B43" s="2">
        <v>0.16666666666666671</v>
      </c>
      <c r="C43" s="2">
        <v>0.16666666666666671</v>
      </c>
      <c r="D43" s="2">
        <v>0.27777777777777768</v>
      </c>
      <c r="E43" s="2">
        <v>0.5</v>
      </c>
      <c r="F43" s="2">
        <v>0.27777777777777768</v>
      </c>
      <c r="G43" s="2">
        <v>0.83333333333333337</v>
      </c>
      <c r="H43" s="4"/>
      <c r="I43" s="4"/>
      <c r="J43" s="4"/>
      <c r="K43" s="4"/>
      <c r="L43" s="4"/>
    </row>
    <row r="44" spans="1:12" x14ac:dyDescent="0.15">
      <c r="A44" s="2" t="str">
        <f>HYPERLINK("./new_k5/query_cmdrels_weight_analyze/0.4_0.3_0.3/au_163155.xlsx","au_163155")</f>
        <v>au_163155</v>
      </c>
      <c r="B44" s="2">
        <v>0.125</v>
      </c>
      <c r="C44" s="2">
        <v>0.125</v>
      </c>
      <c r="D44" s="2">
        <v>0.375</v>
      </c>
      <c r="E44" s="2">
        <v>0.375</v>
      </c>
      <c r="F44" s="2">
        <v>0.5</v>
      </c>
      <c r="G44" s="2">
        <v>0.5</v>
      </c>
      <c r="H44" s="4"/>
      <c r="I44" s="4"/>
      <c r="J44" s="4"/>
      <c r="K44" s="4"/>
      <c r="L44" s="4"/>
    </row>
    <row r="45" spans="1:12" x14ac:dyDescent="0.15">
      <c r="A45" s="2" t="str">
        <f>HYPERLINK("./new_k5/query_cmdrels_weight_analyze/0.4_0.3_0.3/au_164473.xlsx","au_164473")</f>
        <v>au_164473</v>
      </c>
      <c r="B45" s="2">
        <v>0</v>
      </c>
      <c r="C45" s="2">
        <v>0</v>
      </c>
      <c r="D45" s="2">
        <v>0.1</v>
      </c>
      <c r="E45" s="2">
        <v>0</v>
      </c>
      <c r="F45" s="2">
        <v>0.18</v>
      </c>
      <c r="G45" s="2">
        <v>0</v>
      </c>
      <c r="H45" s="4"/>
      <c r="I45" s="4"/>
      <c r="J45" s="4"/>
      <c r="K45" s="4"/>
      <c r="L45" s="4"/>
    </row>
    <row r="46" spans="1:12" x14ac:dyDescent="0.15">
      <c r="A46" s="2" t="str">
        <f>HYPERLINK("./new_k5/query_cmdrels_weight_analyze/0.4_0.3_0.3/au_16584.xlsx","au_16584")</f>
        <v>au_16584</v>
      </c>
      <c r="B46" s="2">
        <v>9.0909090909090912E-2</v>
      </c>
      <c r="C46" s="2">
        <v>9.0909090909090912E-2</v>
      </c>
      <c r="D46" s="2">
        <v>9.0909090909090912E-2</v>
      </c>
      <c r="E46" s="2">
        <v>0.15151515151515149</v>
      </c>
      <c r="F46" s="2">
        <v>0.13636363636363641</v>
      </c>
      <c r="G46" s="2">
        <v>0.2196969696969697</v>
      </c>
      <c r="H46" s="4"/>
      <c r="I46" s="4"/>
      <c r="J46" s="4"/>
      <c r="K46" s="4"/>
      <c r="L46" s="4"/>
    </row>
    <row r="47" spans="1:12" x14ac:dyDescent="0.15">
      <c r="A47" s="2" t="str">
        <f>HYPERLINK("./new_k5/query_cmdrels_weight_analyze/0.4_0.3_0.3/au_166420.xlsx","au_166420")</f>
        <v>au_166420</v>
      </c>
      <c r="B47" s="2">
        <v>0.2</v>
      </c>
      <c r="C47" s="2">
        <v>0.2</v>
      </c>
      <c r="D47" s="2">
        <v>0.33333333333333331</v>
      </c>
      <c r="E47" s="2">
        <v>0.4</v>
      </c>
      <c r="F47" s="2">
        <v>0.48333333333333328</v>
      </c>
      <c r="G47" s="2">
        <v>0.4</v>
      </c>
      <c r="H47" s="4"/>
      <c r="I47" s="4"/>
      <c r="J47" s="4"/>
      <c r="K47" s="4"/>
      <c r="L47" s="4"/>
    </row>
    <row r="48" spans="1:12" x14ac:dyDescent="0.15">
      <c r="A48" s="2" t="str">
        <f>HYPERLINK("./new_k5/query_cmdrels_weight_analyze/0.4_0.3_0.3/au_169473.xlsx","au_169473")</f>
        <v>au_169473</v>
      </c>
      <c r="B48" s="2">
        <v>0.16666666666666671</v>
      </c>
      <c r="C48" s="2">
        <v>0.16666666666666671</v>
      </c>
      <c r="D48" s="2">
        <v>0.33333333333333331</v>
      </c>
      <c r="E48" s="2">
        <v>0.16666666666666671</v>
      </c>
      <c r="F48" s="2">
        <v>0.43333333333333329</v>
      </c>
      <c r="G48" s="2">
        <v>0.35</v>
      </c>
      <c r="H48" s="4"/>
      <c r="I48" s="4"/>
      <c r="J48" s="4"/>
      <c r="K48" s="4"/>
      <c r="L48" s="4"/>
    </row>
    <row r="49" spans="1:12" x14ac:dyDescent="0.15">
      <c r="A49" s="2" t="str">
        <f>HYPERLINK("./new_k5/query_cmdrels_weight_analyze/0.4_0.3_0.3/au_169516.xlsx","au_169516")</f>
        <v>au_169516</v>
      </c>
      <c r="B49" s="2">
        <v>0.25</v>
      </c>
      <c r="C49" s="2">
        <v>0.25</v>
      </c>
      <c r="D49" s="2">
        <v>0.25</v>
      </c>
      <c r="E49" s="2">
        <v>0.5</v>
      </c>
      <c r="F49" s="2">
        <v>0.25</v>
      </c>
      <c r="G49" s="2">
        <v>0.5</v>
      </c>
      <c r="H49" s="4"/>
      <c r="I49" s="4"/>
      <c r="J49" s="4"/>
      <c r="K49" s="4"/>
      <c r="L49" s="4"/>
    </row>
    <row r="50" spans="1:12" x14ac:dyDescent="0.15">
      <c r="A50" s="2" t="str">
        <f>HYPERLINK("./new_k5/query_cmdrels_weight_analyze/0.4_0.3_0.3/au_174292.xlsx","au_174292")</f>
        <v>au_174292</v>
      </c>
      <c r="B50" s="2">
        <v>0</v>
      </c>
      <c r="C50" s="2">
        <v>0.25</v>
      </c>
      <c r="D50" s="2">
        <v>0</v>
      </c>
      <c r="E50" s="2">
        <v>0.25</v>
      </c>
      <c r="F50" s="2">
        <v>0</v>
      </c>
      <c r="G50" s="2">
        <v>0.35</v>
      </c>
      <c r="H50" s="4"/>
      <c r="I50" s="4"/>
      <c r="J50" s="4"/>
      <c r="K50" s="4"/>
      <c r="L50" s="4"/>
    </row>
    <row r="51" spans="1:12" x14ac:dyDescent="0.15">
      <c r="A51" s="2" t="str">
        <f>HYPERLINK("./new_k5/query_cmdrels_weight_analyze/0.4_0.3_0.3/au_178481.xlsx","au_178481")</f>
        <v>au_178481</v>
      </c>
      <c r="B51" s="2">
        <v>0.33333333333333331</v>
      </c>
      <c r="C51" s="2">
        <v>0.33333333333333331</v>
      </c>
      <c r="D51" s="2">
        <v>0.66666666666666663</v>
      </c>
      <c r="E51" s="2">
        <v>0.66666666666666663</v>
      </c>
      <c r="F51" s="2">
        <v>0.66666666666666663</v>
      </c>
      <c r="G51" s="2">
        <v>0.66666666666666663</v>
      </c>
      <c r="H51" s="4"/>
      <c r="I51" s="4"/>
      <c r="J51" s="4"/>
      <c r="K51" s="4"/>
      <c r="L51" s="4"/>
    </row>
    <row r="52" spans="1:12" x14ac:dyDescent="0.15">
      <c r="A52" s="2" t="str">
        <f>HYPERLINK("./new_k5/query_cmdrels_weight_analyze/0.4_0.3_0.3/au_180925.xlsx","au_180925")</f>
        <v>au_180925</v>
      </c>
      <c r="B52" s="2">
        <v>0.5</v>
      </c>
      <c r="C52" s="2">
        <v>0.5</v>
      </c>
      <c r="D52" s="2">
        <v>0.5</v>
      </c>
      <c r="E52" s="2">
        <v>0.5</v>
      </c>
      <c r="F52" s="2">
        <v>0.5</v>
      </c>
      <c r="G52" s="2">
        <v>0.5</v>
      </c>
      <c r="H52" s="4"/>
      <c r="I52" s="4"/>
      <c r="J52" s="4"/>
      <c r="K52" s="4"/>
      <c r="L52" s="4"/>
    </row>
    <row r="53" spans="1:12" x14ac:dyDescent="0.15">
      <c r="A53" s="2" t="str">
        <f>HYPERLINK("./new_k5/query_cmdrels_weight_analyze/0.4_0.3_0.3/au_187888.xlsx","au_187888")</f>
        <v>au_187888</v>
      </c>
      <c r="B53" s="2">
        <v>0</v>
      </c>
      <c r="C53" s="2">
        <v>0.14285714285714279</v>
      </c>
      <c r="D53" s="2">
        <v>7.1428571428571425E-2</v>
      </c>
      <c r="E53" s="2">
        <v>0.2857142857142857</v>
      </c>
      <c r="F53" s="2">
        <v>7.1428571428571425E-2</v>
      </c>
      <c r="G53" s="2">
        <v>0.39285714285714279</v>
      </c>
      <c r="H53" s="4"/>
      <c r="I53" s="4"/>
      <c r="J53" s="4"/>
      <c r="K53" s="4"/>
      <c r="L53" s="4"/>
    </row>
    <row r="54" spans="1:12" x14ac:dyDescent="0.15">
      <c r="A54" s="2" t="str">
        <f>HYPERLINK("./new_k5/query_cmdrels_weight_analyze/0.4_0.3_0.3/au_191390.xlsx","au_191390")</f>
        <v>au_191390</v>
      </c>
      <c r="B54" s="2">
        <v>0.25</v>
      </c>
      <c r="C54" s="2">
        <v>0.25</v>
      </c>
      <c r="D54" s="2">
        <v>0.25</v>
      </c>
      <c r="E54" s="2">
        <v>0.25</v>
      </c>
      <c r="F54" s="2">
        <v>0.25</v>
      </c>
      <c r="G54" s="2">
        <v>0.25</v>
      </c>
      <c r="H54" s="4"/>
      <c r="I54" s="4"/>
      <c r="J54" s="4"/>
      <c r="K54" s="4"/>
      <c r="L54" s="4"/>
    </row>
    <row r="55" spans="1:12" x14ac:dyDescent="0.15">
      <c r="A55" s="2" t="str">
        <f>HYPERLINK("./new_k5/query_cmdrels_weight_analyze/0.4_0.3_0.3/au_192798.xlsx","au_192798")</f>
        <v>au_192798</v>
      </c>
      <c r="B55" s="2">
        <v>0</v>
      </c>
      <c r="C55" s="2">
        <v>1</v>
      </c>
      <c r="D55" s="2">
        <v>0</v>
      </c>
      <c r="E55" s="2">
        <v>1</v>
      </c>
      <c r="F55" s="2">
        <v>0</v>
      </c>
      <c r="G55" s="2">
        <v>1</v>
      </c>
      <c r="H55" s="4"/>
      <c r="I55" s="4"/>
      <c r="J55" s="4"/>
      <c r="K55" s="4"/>
      <c r="L55" s="4"/>
    </row>
    <row r="56" spans="1:12" x14ac:dyDescent="0.15">
      <c r="A56" s="2" t="str">
        <f>HYPERLINK("./new_k5/query_cmdrels_weight_analyze/0.4_0.3_0.3/au_201775.xlsx","au_201775")</f>
        <v>au_201775</v>
      </c>
      <c r="B56" s="2">
        <v>0.33333333333333331</v>
      </c>
      <c r="C56" s="2">
        <v>0.33333333333333331</v>
      </c>
      <c r="D56" s="2">
        <v>0.66666666666666663</v>
      </c>
      <c r="E56" s="2">
        <v>0.55555555555555547</v>
      </c>
      <c r="F56" s="2">
        <v>0.66666666666666663</v>
      </c>
      <c r="G56" s="2">
        <v>0.75555555555555554</v>
      </c>
      <c r="H56" s="4"/>
      <c r="I56" s="4"/>
      <c r="J56" s="4"/>
      <c r="K56" s="4"/>
      <c r="L56" s="4"/>
    </row>
    <row r="57" spans="1:12" x14ac:dyDescent="0.15">
      <c r="A57" s="2" t="str">
        <f>HYPERLINK("./new_k5/query_cmdrels_weight_analyze/0.4_0.3_0.3/au_204166.xlsx","au_204166")</f>
        <v>au_204166</v>
      </c>
      <c r="B57" s="2">
        <v>0.2</v>
      </c>
      <c r="C57" s="2">
        <v>0.2</v>
      </c>
      <c r="D57" s="2">
        <v>0.6</v>
      </c>
      <c r="E57" s="2">
        <v>0.6</v>
      </c>
      <c r="F57" s="2">
        <v>0.6</v>
      </c>
      <c r="G57" s="2">
        <v>1</v>
      </c>
      <c r="H57" s="4"/>
      <c r="I57" s="4"/>
      <c r="J57" s="4"/>
      <c r="K57" s="4"/>
      <c r="L57" s="4"/>
    </row>
    <row r="58" spans="1:12" x14ac:dyDescent="0.15">
      <c r="A58" s="2" t="str">
        <f>HYPERLINK("./new_k5/query_cmdrels_weight_analyze/0.4_0.3_0.3/au_207447.xlsx","au_207447")</f>
        <v>au_207447</v>
      </c>
      <c r="B58" s="2">
        <v>0.33333333333333331</v>
      </c>
      <c r="C58" s="2">
        <v>0</v>
      </c>
      <c r="D58" s="2">
        <v>0.33333333333333331</v>
      </c>
      <c r="E58" s="2">
        <v>0.16666666666666671</v>
      </c>
      <c r="F58" s="2">
        <v>0.33333333333333331</v>
      </c>
      <c r="G58" s="2">
        <v>0.3</v>
      </c>
      <c r="H58" s="4"/>
      <c r="I58" s="4"/>
      <c r="J58" s="4"/>
      <c r="K58" s="4"/>
      <c r="L58" s="4"/>
    </row>
    <row r="59" spans="1:12" x14ac:dyDescent="0.15">
      <c r="A59" s="2" t="str">
        <f>HYPERLINK("./new_k5/query_cmdrels_weight_analyze/0.4_0.3_0.3/au_210680.xlsx","au_210680")</f>
        <v>au_210680</v>
      </c>
      <c r="B59" s="2">
        <v>0.2</v>
      </c>
      <c r="C59" s="2">
        <v>0.2</v>
      </c>
      <c r="D59" s="2">
        <v>0.6</v>
      </c>
      <c r="E59" s="2">
        <v>0.6</v>
      </c>
      <c r="F59" s="2">
        <v>0.6</v>
      </c>
      <c r="G59" s="2">
        <v>0.6</v>
      </c>
      <c r="H59" s="4"/>
      <c r="I59" s="4"/>
      <c r="J59" s="4"/>
      <c r="K59" s="4"/>
      <c r="L59" s="4"/>
    </row>
    <row r="60" spans="1:12" x14ac:dyDescent="0.15">
      <c r="A60" s="2" t="str">
        <f>HYPERLINK("./new_k5/query_cmdrels_weight_analyze/0.4_0.3_0.3/au_214246.xlsx","au_214246")</f>
        <v>au_214246</v>
      </c>
      <c r="B60" s="2">
        <v>0.2</v>
      </c>
      <c r="C60" s="2">
        <v>0.2</v>
      </c>
      <c r="D60" s="2">
        <v>0.4</v>
      </c>
      <c r="E60" s="2">
        <v>0.4</v>
      </c>
      <c r="F60" s="2">
        <v>0.55000000000000004</v>
      </c>
      <c r="G60" s="2">
        <v>0.55000000000000004</v>
      </c>
      <c r="H60" s="4"/>
      <c r="I60" s="4"/>
      <c r="J60" s="4"/>
      <c r="K60" s="4"/>
      <c r="L60" s="4"/>
    </row>
    <row r="61" spans="1:12" x14ac:dyDescent="0.15">
      <c r="A61" s="2" t="str">
        <f>HYPERLINK("./new_k5/query_cmdrels_weight_analyze/0.4_0.3_0.3/au_214643.xlsx","au_214643")</f>
        <v>au_214643</v>
      </c>
      <c r="B61" s="2">
        <v>0.5</v>
      </c>
      <c r="C61" s="2">
        <v>0.5</v>
      </c>
      <c r="D61" s="2">
        <v>0.5</v>
      </c>
      <c r="E61" s="2">
        <v>0.5</v>
      </c>
      <c r="F61" s="2">
        <v>0.5</v>
      </c>
      <c r="G61" s="2">
        <v>0.5</v>
      </c>
      <c r="H61" s="4"/>
      <c r="I61" s="4"/>
      <c r="J61" s="4"/>
      <c r="K61" s="4"/>
      <c r="L61" s="4"/>
    </row>
    <row r="62" spans="1:12" x14ac:dyDescent="0.15">
      <c r="A62" s="2" t="str">
        <f>HYPERLINK("./new_k5/query_cmdrels_weight_analyze/0.4_0.3_0.3/au_2194.xlsx","au_2194")</f>
        <v>au_2194</v>
      </c>
      <c r="B62" s="2">
        <v>0</v>
      </c>
      <c r="C62" s="2">
        <v>0</v>
      </c>
      <c r="D62" s="2">
        <v>4.7619047619047623E-2</v>
      </c>
      <c r="E62" s="2">
        <v>7.1428571428571425E-2</v>
      </c>
      <c r="F62" s="2">
        <v>0.119047619047619</v>
      </c>
      <c r="G62" s="2">
        <v>0.22857142857142859</v>
      </c>
      <c r="H62" s="4"/>
      <c r="I62" s="4"/>
      <c r="J62" s="4"/>
      <c r="K62" s="4"/>
      <c r="L62" s="4"/>
    </row>
    <row r="63" spans="1:12" x14ac:dyDescent="0.15">
      <c r="A63" s="2" t="str">
        <f>HYPERLINK("./new_k5/query_cmdrels_weight_analyze/0.4_0.3_0.3/au_221962.xlsx","au_221962")</f>
        <v>au_221962</v>
      </c>
      <c r="B63" s="2">
        <v>0</v>
      </c>
      <c r="C63" s="2">
        <v>0</v>
      </c>
      <c r="D63" s="2">
        <v>5.5555555555555552E-2</v>
      </c>
      <c r="E63" s="2">
        <v>8.3333333333333329E-2</v>
      </c>
      <c r="F63" s="2">
        <v>0.1388888888888889</v>
      </c>
      <c r="G63" s="2">
        <v>0.26666666666666672</v>
      </c>
      <c r="H63" s="4"/>
      <c r="I63" s="4"/>
      <c r="J63" s="4"/>
      <c r="K63" s="4"/>
      <c r="L63" s="4"/>
    </row>
    <row r="64" spans="1:12" x14ac:dyDescent="0.15">
      <c r="A64" s="2" t="str">
        <f>HYPERLINK("./new_k5/query_cmdrels_weight_analyze/0.4_0.3_0.3/au_22608.xlsx","au_22608")</f>
        <v>au_22608</v>
      </c>
      <c r="B64" s="2">
        <v>0.33333333333333331</v>
      </c>
      <c r="C64" s="2">
        <v>0.33333333333333331</v>
      </c>
      <c r="D64" s="2">
        <v>0.33333333333333331</v>
      </c>
      <c r="E64" s="2">
        <v>0.33333333333333331</v>
      </c>
      <c r="F64" s="2">
        <v>0.33333333333333331</v>
      </c>
      <c r="G64" s="2">
        <v>0.5</v>
      </c>
      <c r="H64" s="4"/>
      <c r="I64" s="4"/>
      <c r="J64" s="4"/>
      <c r="K64" s="4"/>
      <c r="L64" s="4"/>
    </row>
    <row r="65" spans="1:12" x14ac:dyDescent="0.15">
      <c r="A65" s="2" t="str">
        <f>HYPERLINK("./new_k5/query_cmdrels_weight_analyze/0.4_0.3_0.3/au_230698.xlsx","au_230698")</f>
        <v>au_230698</v>
      </c>
      <c r="B65" s="2">
        <v>0.125</v>
      </c>
      <c r="C65" s="2">
        <v>0.125</v>
      </c>
      <c r="D65" s="2">
        <v>0.25</v>
      </c>
      <c r="E65" s="2">
        <v>0.25</v>
      </c>
      <c r="F65" s="2">
        <v>0.32500000000000001</v>
      </c>
      <c r="G65" s="2">
        <v>0.34375</v>
      </c>
      <c r="H65" s="4"/>
      <c r="I65" s="4"/>
      <c r="J65" s="4"/>
      <c r="K65" s="4"/>
      <c r="L65" s="4"/>
    </row>
    <row r="66" spans="1:12" x14ac:dyDescent="0.15">
      <c r="A66" s="2" t="str">
        <f>HYPERLINK("./new_k5/query_cmdrels_weight_analyze/0.4_0.3_0.3/au_232442.xlsx","au_232442")</f>
        <v>au_232442</v>
      </c>
      <c r="B66" s="2">
        <v>0.5</v>
      </c>
      <c r="C66" s="2">
        <v>0</v>
      </c>
      <c r="D66" s="2">
        <v>0.5</v>
      </c>
      <c r="E66" s="2">
        <v>0</v>
      </c>
      <c r="F66" s="2">
        <v>0.5</v>
      </c>
      <c r="G66" s="2">
        <v>0</v>
      </c>
      <c r="H66" s="4"/>
      <c r="I66" s="4"/>
      <c r="J66" s="4"/>
      <c r="K66" s="4"/>
      <c r="L66" s="4"/>
    </row>
    <row r="67" spans="1:12" x14ac:dyDescent="0.15">
      <c r="A67" s="2" t="str">
        <f>HYPERLINK("./new_k5/query_cmdrels_weight_analyze/0.4_0.3_0.3/au_233378.xlsx","au_233378")</f>
        <v>au_233378</v>
      </c>
      <c r="B67" s="2">
        <v>0.5</v>
      </c>
      <c r="C67" s="2">
        <v>0.5</v>
      </c>
      <c r="D67" s="2">
        <v>1</v>
      </c>
      <c r="E67" s="2">
        <v>0.5</v>
      </c>
      <c r="F67" s="2">
        <v>1</v>
      </c>
      <c r="G67" s="2">
        <v>0.5</v>
      </c>
      <c r="H67" s="4"/>
      <c r="I67" s="4"/>
      <c r="J67" s="4"/>
      <c r="K67" s="4"/>
      <c r="L67" s="4"/>
    </row>
    <row r="68" spans="1:12" x14ac:dyDescent="0.15">
      <c r="A68" s="2" t="str">
        <f>HYPERLINK("./new_k5/query_cmdrels_weight_analyze/0.4_0.3_0.3/au_24027.xlsx","au_24027")</f>
        <v>au_24027</v>
      </c>
      <c r="B68" s="2">
        <v>0.16666666666666671</v>
      </c>
      <c r="C68" s="2">
        <v>0.16666666666666671</v>
      </c>
      <c r="D68" s="2">
        <v>0.16666666666666671</v>
      </c>
      <c r="E68" s="2">
        <v>0.33333333333333331</v>
      </c>
      <c r="F68" s="2">
        <v>0.23333333333333331</v>
      </c>
      <c r="G68" s="2">
        <v>0.45833333333333331</v>
      </c>
      <c r="H68" s="4"/>
      <c r="I68" s="4"/>
      <c r="J68" s="4"/>
      <c r="K68" s="4"/>
      <c r="L68" s="4"/>
    </row>
    <row r="69" spans="1:12" x14ac:dyDescent="0.15">
      <c r="A69" s="2" t="str">
        <f>HYPERLINK("./new_k5/query_cmdrels_weight_analyze/0.4_0.3_0.3/au_246647.xlsx","au_246647")</f>
        <v>au_246647</v>
      </c>
      <c r="B69" s="2">
        <v>0.125</v>
      </c>
      <c r="C69" s="2">
        <v>0.125</v>
      </c>
      <c r="D69" s="2">
        <v>0.375</v>
      </c>
      <c r="E69" s="2">
        <v>0.20833333333333329</v>
      </c>
      <c r="F69" s="2">
        <v>0.47499999999999998</v>
      </c>
      <c r="G69" s="2">
        <v>0.20833333333333329</v>
      </c>
      <c r="H69" s="4"/>
      <c r="I69" s="4"/>
      <c r="J69" s="4"/>
      <c r="K69" s="4"/>
      <c r="L69" s="4"/>
    </row>
    <row r="70" spans="1:12" x14ac:dyDescent="0.15">
      <c r="A70" s="2" t="str">
        <f>HYPERLINK("./new_k5/query_cmdrels_weight_analyze/0.4_0.3_0.3/au_254424.xlsx","au_254424")</f>
        <v>au_254424</v>
      </c>
      <c r="B70" s="2">
        <v>0</v>
      </c>
      <c r="C70" s="2">
        <v>0</v>
      </c>
      <c r="D70" s="2">
        <v>0.125</v>
      </c>
      <c r="E70" s="2">
        <v>0</v>
      </c>
      <c r="F70" s="2">
        <v>0.125</v>
      </c>
      <c r="G70" s="2">
        <v>6.25E-2</v>
      </c>
      <c r="H70" s="4"/>
      <c r="I70" s="4"/>
      <c r="J70" s="4"/>
      <c r="K70" s="4"/>
      <c r="L70" s="4"/>
    </row>
    <row r="71" spans="1:12" x14ac:dyDescent="0.15">
      <c r="A71" s="2" t="str">
        <f>HYPERLINK("./new_k5/query_cmdrels_weight_analyze/0.4_0.3_0.3/au_255890.xlsx","au_255890")</f>
        <v>au_255890</v>
      </c>
      <c r="B71" s="2">
        <v>0</v>
      </c>
      <c r="C71" s="2">
        <v>0</v>
      </c>
      <c r="D71" s="2">
        <v>0.25</v>
      </c>
      <c r="E71" s="2">
        <v>0</v>
      </c>
      <c r="F71" s="2">
        <v>0.25</v>
      </c>
      <c r="G71" s="2">
        <v>0</v>
      </c>
      <c r="H71" s="4"/>
      <c r="I71" s="4"/>
      <c r="J71" s="4"/>
      <c r="K71" s="4"/>
      <c r="L71" s="4"/>
    </row>
    <row r="72" spans="1:12" x14ac:dyDescent="0.15">
      <c r="A72" s="2" t="str">
        <f>HYPERLINK("./new_k5/query_cmdrels_weight_analyze/0.4_0.3_0.3/au_257248.xlsx","au_257248")</f>
        <v>au_257248</v>
      </c>
      <c r="B72" s="2">
        <v>0</v>
      </c>
      <c r="C72" s="2">
        <v>0.14285714285714279</v>
      </c>
      <c r="D72" s="2">
        <v>0.16666666666666671</v>
      </c>
      <c r="E72" s="2">
        <v>0.23809523809523811</v>
      </c>
      <c r="F72" s="2">
        <v>0.25238095238095237</v>
      </c>
      <c r="G72" s="2">
        <v>0.34523809523809518</v>
      </c>
      <c r="H72" s="4"/>
      <c r="I72" s="4"/>
      <c r="J72" s="4"/>
      <c r="K72" s="4"/>
      <c r="L72" s="4"/>
    </row>
    <row r="73" spans="1:12" x14ac:dyDescent="0.15">
      <c r="A73" s="2" t="str">
        <f>HYPERLINK("./new_k5/query_cmdrels_weight_analyze/0.4_0.3_0.3/au_259354.xlsx","au_259354")</f>
        <v>au_259354</v>
      </c>
      <c r="B73" s="2">
        <v>0</v>
      </c>
      <c r="C73" s="2">
        <v>0.14285714285714279</v>
      </c>
      <c r="D73" s="2">
        <v>0.16666666666666671</v>
      </c>
      <c r="E73" s="2">
        <v>0.2857142857142857</v>
      </c>
      <c r="F73" s="2">
        <v>0.27380952380952378</v>
      </c>
      <c r="G73" s="2">
        <v>0.39285714285714279</v>
      </c>
      <c r="H73" s="4"/>
      <c r="I73" s="4"/>
      <c r="J73" s="4"/>
      <c r="K73" s="4"/>
      <c r="L73" s="4"/>
    </row>
    <row r="74" spans="1:12" x14ac:dyDescent="0.15">
      <c r="A74" s="2" t="str">
        <f>HYPERLINK("./new_k5/query_cmdrels_weight_analyze/0.4_0.3_0.3/au_263378.xlsx","au_263378")</f>
        <v>au_263378</v>
      </c>
      <c r="B74" s="2">
        <v>0.125</v>
      </c>
      <c r="C74" s="2">
        <v>0.125</v>
      </c>
      <c r="D74" s="2">
        <v>0.375</v>
      </c>
      <c r="E74" s="2">
        <v>0.375</v>
      </c>
      <c r="F74" s="2">
        <v>0.625</v>
      </c>
      <c r="G74" s="2">
        <v>0.5</v>
      </c>
      <c r="H74" s="4"/>
      <c r="I74" s="4"/>
      <c r="J74" s="4"/>
      <c r="K74" s="4"/>
      <c r="L74" s="4"/>
    </row>
    <row r="75" spans="1:12" x14ac:dyDescent="0.15">
      <c r="A75" s="2" t="str">
        <f>HYPERLINK("./new_k5/query_cmdrels_weight_analyze/0.4_0.3_0.3/au_264215.xlsx","au_264215")</f>
        <v>au_264215</v>
      </c>
      <c r="B75" s="2">
        <v>0.5</v>
      </c>
      <c r="C75" s="2">
        <v>0.5</v>
      </c>
      <c r="D75" s="2">
        <v>1</v>
      </c>
      <c r="E75" s="2">
        <v>0.5</v>
      </c>
      <c r="F75" s="2">
        <v>1</v>
      </c>
      <c r="G75" s="2">
        <v>0.5</v>
      </c>
      <c r="H75" s="4"/>
      <c r="I75" s="4"/>
      <c r="J75" s="4"/>
      <c r="K75" s="4"/>
      <c r="L75" s="4"/>
    </row>
    <row r="76" spans="1:12" x14ac:dyDescent="0.15">
      <c r="A76" s="2" t="str">
        <f>HYPERLINK("./new_k5/query_cmdrels_weight_analyze/0.4_0.3_0.3/au_265176.xlsx","au_265176")</f>
        <v>au_265176</v>
      </c>
      <c r="B76" s="2">
        <v>0.5</v>
      </c>
      <c r="C76" s="2">
        <v>0.5</v>
      </c>
      <c r="D76" s="2">
        <v>0.5</v>
      </c>
      <c r="E76" s="2">
        <v>0.5</v>
      </c>
      <c r="F76" s="2">
        <v>0.5</v>
      </c>
      <c r="G76" s="2">
        <v>0.5</v>
      </c>
      <c r="H76" s="4"/>
      <c r="I76" s="4"/>
      <c r="J76" s="4"/>
      <c r="K76" s="4"/>
      <c r="L76" s="4"/>
    </row>
    <row r="77" spans="1:12" x14ac:dyDescent="0.15">
      <c r="A77" s="2" t="str">
        <f>HYPERLINK("./new_k5/query_cmdrels_weight_analyze/0.4_0.3_0.3/au_275704.xlsx","au_275704")</f>
        <v>au_275704</v>
      </c>
      <c r="B77" s="2">
        <v>1</v>
      </c>
      <c r="C77" s="2">
        <v>1</v>
      </c>
      <c r="D77" s="2">
        <v>1</v>
      </c>
      <c r="E77" s="2">
        <v>1</v>
      </c>
      <c r="F77" s="2">
        <v>1</v>
      </c>
      <c r="G77" s="2">
        <v>1</v>
      </c>
      <c r="H77" s="4"/>
      <c r="I77" s="4"/>
      <c r="J77" s="4"/>
      <c r="K77" s="4"/>
      <c r="L77" s="4"/>
    </row>
    <row r="78" spans="1:12" x14ac:dyDescent="0.15">
      <c r="A78" s="2" t="str">
        <f>HYPERLINK("./new_k5/query_cmdrels_weight_analyze/0.4_0.3_0.3/au_276669.xlsx","au_276669")</f>
        <v>au_276669</v>
      </c>
      <c r="B78" s="2">
        <v>0</v>
      </c>
      <c r="C78" s="2">
        <v>0.14285714285714279</v>
      </c>
      <c r="D78" s="2">
        <v>0.16666666666666671</v>
      </c>
      <c r="E78" s="2">
        <v>0.42857142857142849</v>
      </c>
      <c r="F78" s="2">
        <v>0.25238095238095237</v>
      </c>
      <c r="G78" s="2">
        <v>0.7142857142857143</v>
      </c>
      <c r="H78" s="4"/>
      <c r="I78" s="4"/>
      <c r="J78" s="4"/>
      <c r="K78" s="4"/>
      <c r="L78" s="4"/>
    </row>
    <row r="79" spans="1:12" x14ac:dyDescent="0.15">
      <c r="A79" s="2" t="str">
        <f>HYPERLINK("./new_k5/query_cmdrels_weight_analyze/0.4_0.3_0.3/au_277565.xlsx","au_277565")</f>
        <v>au_277565</v>
      </c>
      <c r="B79" s="2">
        <v>0.5</v>
      </c>
      <c r="C79" s="2">
        <v>0.5</v>
      </c>
      <c r="D79" s="2">
        <v>0.5</v>
      </c>
      <c r="E79" s="2">
        <v>0.5</v>
      </c>
      <c r="F79" s="2">
        <v>0.5</v>
      </c>
      <c r="G79" s="2">
        <v>0.5</v>
      </c>
      <c r="H79" s="4"/>
      <c r="I79" s="4"/>
      <c r="J79" s="4"/>
      <c r="K79" s="4"/>
      <c r="L79" s="4"/>
    </row>
    <row r="80" spans="1:12" x14ac:dyDescent="0.15">
      <c r="A80" s="2" t="str">
        <f>HYPERLINK("./new_k5/query_cmdrels_weight_analyze/0.4_0.3_0.3/au_278403.xlsx","au_278403")</f>
        <v>au_278403</v>
      </c>
      <c r="B80" s="2">
        <v>0</v>
      </c>
      <c r="C80" s="2">
        <v>0</v>
      </c>
      <c r="D80" s="2">
        <v>8.3333333333333329E-2</v>
      </c>
      <c r="E80" s="2">
        <v>8.3333333333333329E-2</v>
      </c>
      <c r="F80" s="2">
        <v>0.20833333333333329</v>
      </c>
      <c r="G80" s="2">
        <v>0.20833333333333329</v>
      </c>
      <c r="H80" s="4"/>
      <c r="I80" s="4"/>
      <c r="J80" s="4"/>
      <c r="K80" s="4"/>
      <c r="L80" s="4"/>
    </row>
    <row r="81" spans="1:12" x14ac:dyDescent="0.15">
      <c r="A81" s="2" t="str">
        <f>HYPERLINK("./new_k5/query_cmdrels_weight_analyze/0.4_0.3_0.3/au_28039.xlsx","au_28039")</f>
        <v>au_28039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3.3333333333333333E-2</v>
      </c>
      <c r="H81" s="4"/>
      <c r="I81" s="4"/>
      <c r="J81" s="4"/>
      <c r="K81" s="4"/>
      <c r="L81" s="4"/>
    </row>
    <row r="82" spans="1:12" x14ac:dyDescent="0.15">
      <c r="A82" s="2" t="str">
        <f>HYPERLINK("./new_k5/query_cmdrels_weight_analyze/0.4_0.3_0.3/au_281509.xlsx","au_281509")</f>
        <v>au_281509</v>
      </c>
      <c r="B82" s="2">
        <v>0.33333333333333331</v>
      </c>
      <c r="C82" s="2">
        <v>0.33333333333333331</v>
      </c>
      <c r="D82" s="2">
        <v>0.55555555555555547</v>
      </c>
      <c r="E82" s="2">
        <v>0.66666666666666663</v>
      </c>
      <c r="F82" s="2">
        <v>0.55555555555555547</v>
      </c>
      <c r="G82" s="2">
        <v>0.66666666666666663</v>
      </c>
      <c r="H82" s="4"/>
      <c r="I82" s="4"/>
      <c r="J82" s="4"/>
      <c r="K82" s="4"/>
      <c r="L82" s="4"/>
    </row>
    <row r="83" spans="1:12" x14ac:dyDescent="0.15">
      <c r="A83" s="2" t="str">
        <f>HYPERLINK("./new_k5/query_cmdrels_weight_analyze/0.4_0.3_0.3/au_282806.xlsx","au_282806")</f>
        <v>au_282806</v>
      </c>
      <c r="B83" s="2">
        <v>0</v>
      </c>
      <c r="C83" s="2">
        <v>0.33333333333333331</v>
      </c>
      <c r="D83" s="2">
        <v>0.38888888888888878</v>
      </c>
      <c r="E83" s="2">
        <v>0.55555555555555547</v>
      </c>
      <c r="F83" s="2">
        <v>0.38888888888888878</v>
      </c>
      <c r="G83" s="2">
        <v>0.80555555555555547</v>
      </c>
      <c r="H83" s="4"/>
      <c r="I83" s="4"/>
      <c r="J83" s="4"/>
      <c r="K83" s="4"/>
      <c r="L83" s="4"/>
    </row>
    <row r="84" spans="1:12" x14ac:dyDescent="0.15">
      <c r="A84" s="2" t="str">
        <f>HYPERLINK("./new_k5/query_cmdrels_weight_analyze/0.4_0.3_0.3/au_283559.xlsx","au_283559")</f>
        <v>au_283559</v>
      </c>
      <c r="B84" s="2">
        <v>0</v>
      </c>
      <c r="C84" s="2">
        <v>0.33333333333333331</v>
      </c>
      <c r="D84" s="2">
        <v>0</v>
      </c>
      <c r="E84" s="2">
        <v>0.33333333333333331</v>
      </c>
      <c r="F84" s="2">
        <v>0</v>
      </c>
      <c r="G84" s="2">
        <v>0.33333333333333331</v>
      </c>
      <c r="H84" s="4"/>
      <c r="I84" s="4"/>
      <c r="J84" s="4"/>
      <c r="K84" s="4"/>
      <c r="L84" s="4"/>
    </row>
    <row r="85" spans="1:12" x14ac:dyDescent="0.15">
      <c r="A85" s="2" t="str">
        <f>HYPERLINK("./new_k5/query_cmdrels_weight_analyze/0.4_0.3_0.3/au_285539.xlsx","au_285539")</f>
        <v>au_285539</v>
      </c>
      <c r="B85" s="2">
        <v>0.5</v>
      </c>
      <c r="C85" s="2">
        <v>0.5</v>
      </c>
      <c r="D85" s="2">
        <v>0.5</v>
      </c>
      <c r="E85" s="2">
        <v>0.5</v>
      </c>
      <c r="F85" s="2">
        <v>0.5</v>
      </c>
      <c r="G85" s="2">
        <v>0.5</v>
      </c>
      <c r="H85" s="4"/>
      <c r="I85" s="4"/>
      <c r="J85" s="4"/>
      <c r="K85" s="4"/>
      <c r="L85" s="4"/>
    </row>
    <row r="86" spans="1:12" x14ac:dyDescent="0.15">
      <c r="A86" s="2" t="str">
        <f>HYPERLINK("./new_k5/query_cmdrels_weight_analyze/0.4_0.3_0.3/au_287532.xlsx","au_287532")</f>
        <v>au_287532</v>
      </c>
      <c r="B86" s="2">
        <v>0</v>
      </c>
      <c r="C86" s="2">
        <v>0</v>
      </c>
      <c r="D86" s="2">
        <v>0</v>
      </c>
      <c r="E86" s="2">
        <v>8.3333333333333329E-2</v>
      </c>
      <c r="F86" s="2">
        <v>0</v>
      </c>
      <c r="G86" s="2">
        <v>8.3333333333333329E-2</v>
      </c>
      <c r="H86" s="4"/>
      <c r="I86" s="4"/>
      <c r="J86" s="4"/>
      <c r="K86" s="4"/>
      <c r="L86" s="4"/>
    </row>
    <row r="87" spans="1:12" x14ac:dyDescent="0.15">
      <c r="A87" s="2" t="str">
        <f>HYPERLINK("./new_k5/query_cmdrels_weight_analyze/0.4_0.3_0.3/au_294257.xlsx","au_294257")</f>
        <v>au_294257</v>
      </c>
      <c r="B87" s="2">
        <v>0.14285714285714279</v>
      </c>
      <c r="C87" s="2">
        <v>0.14285714285714279</v>
      </c>
      <c r="D87" s="2">
        <v>0.42857142857142849</v>
      </c>
      <c r="E87" s="2">
        <v>0.2857142857142857</v>
      </c>
      <c r="F87" s="2">
        <v>0.7142857142857143</v>
      </c>
      <c r="G87" s="2">
        <v>0.50714285714285712</v>
      </c>
      <c r="H87" s="4"/>
      <c r="I87" s="4"/>
      <c r="J87" s="4"/>
      <c r="K87" s="4"/>
      <c r="L87" s="4"/>
    </row>
    <row r="88" spans="1:12" x14ac:dyDescent="0.15">
      <c r="A88" s="2" t="str">
        <f>HYPERLINK("./new_k5/query_cmdrels_weight_analyze/0.4_0.3_0.3/au_296155.xlsx","au_296155")</f>
        <v>au_296155</v>
      </c>
      <c r="B88" s="2">
        <v>0.25</v>
      </c>
      <c r="C88" s="2">
        <v>0.25</v>
      </c>
      <c r="D88" s="2">
        <v>0.75</v>
      </c>
      <c r="E88" s="2">
        <v>0.25</v>
      </c>
      <c r="F88" s="2">
        <v>0.95</v>
      </c>
      <c r="G88" s="2">
        <v>0.25</v>
      </c>
      <c r="H88" s="4"/>
      <c r="I88" s="4"/>
      <c r="J88" s="4"/>
      <c r="K88" s="4"/>
      <c r="L88" s="4"/>
    </row>
    <row r="89" spans="1:12" x14ac:dyDescent="0.15">
      <c r="A89" s="2" t="str">
        <f>HYPERLINK("./new_k5/query_cmdrels_weight_analyze/0.4_0.3_0.3/au_299975.xlsx","au_299975")</f>
        <v>au_299975</v>
      </c>
      <c r="B89" s="2">
        <v>0.25</v>
      </c>
      <c r="C89" s="2">
        <v>0</v>
      </c>
      <c r="D89" s="2">
        <v>0.5</v>
      </c>
      <c r="E89" s="2">
        <v>8.3333333333333329E-2</v>
      </c>
      <c r="F89" s="2">
        <v>0.6875</v>
      </c>
      <c r="G89" s="2">
        <v>8.3333333333333329E-2</v>
      </c>
      <c r="H89" s="4"/>
      <c r="I89" s="4"/>
      <c r="J89" s="4"/>
      <c r="K89" s="4"/>
      <c r="L89" s="4"/>
    </row>
    <row r="90" spans="1:12" x14ac:dyDescent="0.15">
      <c r="A90" s="2" t="str">
        <f>HYPERLINK("./new_k5/query_cmdrels_weight_analyze/0.4_0.3_0.3/au_301096.xlsx","au_301096")</f>
        <v>au_301096</v>
      </c>
      <c r="B90" s="2">
        <v>0.125</v>
      </c>
      <c r="C90" s="2">
        <v>0.125</v>
      </c>
      <c r="D90" s="2">
        <v>0.375</v>
      </c>
      <c r="E90" s="2">
        <v>0.375</v>
      </c>
      <c r="F90" s="2">
        <v>0.5</v>
      </c>
      <c r="G90" s="2">
        <v>0.625</v>
      </c>
      <c r="H90" s="4"/>
      <c r="I90" s="4"/>
      <c r="J90" s="4"/>
      <c r="K90" s="4"/>
      <c r="L90" s="4"/>
    </row>
    <row r="91" spans="1:12" x14ac:dyDescent="0.15">
      <c r="A91" s="2" t="str">
        <f>HYPERLINK("./new_k5/query_cmdrels_weight_analyze/0.4_0.3_0.3/au_303593.xlsx","au_303593")</f>
        <v>au_303593</v>
      </c>
      <c r="B91" s="2">
        <v>0.25</v>
      </c>
      <c r="C91" s="2">
        <v>0.25</v>
      </c>
      <c r="D91" s="2">
        <v>0.5</v>
      </c>
      <c r="E91" s="2">
        <v>0.5</v>
      </c>
      <c r="F91" s="2">
        <v>0.5</v>
      </c>
      <c r="G91" s="2">
        <v>0.5</v>
      </c>
      <c r="H91" s="4"/>
      <c r="I91" s="4"/>
      <c r="J91" s="4"/>
      <c r="K91" s="4"/>
      <c r="L91" s="4"/>
    </row>
    <row r="92" spans="1:12" x14ac:dyDescent="0.15">
      <c r="A92" s="2" t="str">
        <f>HYPERLINK("./new_k5/query_cmdrels_weight_analyze/0.4_0.3_0.3/au_303849.xlsx","au_303849")</f>
        <v>au_303849</v>
      </c>
      <c r="B92" s="2">
        <v>0.1111111111111111</v>
      </c>
      <c r="C92" s="2">
        <v>0.1111111111111111</v>
      </c>
      <c r="D92" s="2">
        <v>0.1111111111111111</v>
      </c>
      <c r="E92" s="2">
        <v>0.1111111111111111</v>
      </c>
      <c r="F92" s="2">
        <v>0.1111111111111111</v>
      </c>
      <c r="G92" s="2">
        <v>0.16666666666666671</v>
      </c>
      <c r="H92" s="4"/>
      <c r="I92" s="4"/>
      <c r="J92" s="4"/>
      <c r="K92" s="4"/>
      <c r="L92" s="4"/>
    </row>
    <row r="93" spans="1:12" x14ac:dyDescent="0.15">
      <c r="A93" s="2" t="str">
        <f>HYPERLINK("./new_k5/query_cmdrels_weight_analyze/0.4_0.3_0.3/au_307541.xlsx","au_307541")</f>
        <v>au_307541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4"/>
      <c r="I93" s="4"/>
      <c r="J93" s="4"/>
      <c r="K93" s="4"/>
      <c r="L93" s="4"/>
    </row>
    <row r="94" spans="1:12" x14ac:dyDescent="0.15">
      <c r="A94" s="2" t="str">
        <f>HYPERLINK("./new_k5/query_cmdrels_weight_analyze/0.4_0.3_0.3/au_307688.xlsx","au_307688")</f>
        <v>au_307688</v>
      </c>
      <c r="B94" s="2">
        <v>0.2</v>
      </c>
      <c r="C94" s="2">
        <v>0.2</v>
      </c>
      <c r="D94" s="2">
        <v>0.33333333333333331</v>
      </c>
      <c r="E94" s="2">
        <v>0.2</v>
      </c>
      <c r="F94" s="2">
        <v>0.33333333333333331</v>
      </c>
      <c r="G94" s="2">
        <v>0.2</v>
      </c>
      <c r="H94" s="4"/>
      <c r="I94" s="4"/>
      <c r="J94" s="4"/>
      <c r="K94" s="4"/>
      <c r="L94" s="4"/>
    </row>
    <row r="95" spans="1:12" x14ac:dyDescent="0.15">
      <c r="A95" s="2" t="str">
        <f>HYPERLINK("./new_k5/query_cmdrels_weight_analyze/0.4_0.3_0.3/au_309047.xlsx","au_309047")</f>
        <v>au_309047</v>
      </c>
      <c r="B95" s="2">
        <v>0.25</v>
      </c>
      <c r="C95" s="2">
        <v>0.25</v>
      </c>
      <c r="D95" s="2">
        <v>0.25</v>
      </c>
      <c r="E95" s="2">
        <v>0.5</v>
      </c>
      <c r="F95" s="2">
        <v>0.25</v>
      </c>
      <c r="G95" s="2">
        <v>0.5</v>
      </c>
      <c r="H95" s="4"/>
      <c r="I95" s="4"/>
      <c r="J95" s="4"/>
      <c r="K95" s="4"/>
      <c r="L95" s="4"/>
    </row>
    <row r="96" spans="1:12" x14ac:dyDescent="0.15">
      <c r="A96" s="2" t="str">
        <f>HYPERLINK("./new_k5/query_cmdrels_weight_analyze/0.4_0.3_0.3/au_311558.xlsx","au_311558")</f>
        <v>au_311558</v>
      </c>
      <c r="B96" s="2">
        <v>0</v>
      </c>
      <c r="C96" s="2">
        <v>0.25</v>
      </c>
      <c r="D96" s="2">
        <v>0.29166666666666657</v>
      </c>
      <c r="E96" s="2">
        <v>0.41666666666666657</v>
      </c>
      <c r="F96" s="2">
        <v>0.29166666666666657</v>
      </c>
      <c r="G96" s="2">
        <v>0.41666666666666657</v>
      </c>
      <c r="H96" s="4"/>
      <c r="I96" s="4"/>
      <c r="J96" s="4"/>
      <c r="K96" s="4"/>
      <c r="L96" s="4"/>
    </row>
    <row r="97" spans="1:12" x14ac:dyDescent="0.15">
      <c r="A97" s="2" t="str">
        <f>HYPERLINK("./new_k5/query_cmdrels_weight_analyze/0.4_0.3_0.3/au_318973.xlsx","au_318973")</f>
        <v>au_318973</v>
      </c>
      <c r="B97" s="2">
        <v>0.125</v>
      </c>
      <c r="C97" s="2">
        <v>0.125</v>
      </c>
      <c r="D97" s="2">
        <v>0.375</v>
      </c>
      <c r="E97" s="2">
        <v>0.375</v>
      </c>
      <c r="F97" s="2">
        <v>0.5</v>
      </c>
      <c r="G97" s="2">
        <v>0.625</v>
      </c>
      <c r="H97" s="4"/>
      <c r="I97" s="4"/>
      <c r="J97" s="4"/>
      <c r="K97" s="4"/>
      <c r="L97" s="4"/>
    </row>
    <row r="98" spans="1:12" x14ac:dyDescent="0.15">
      <c r="A98" s="2" t="str">
        <f>HYPERLINK("./new_k5/query_cmdrels_weight_analyze/0.4_0.3_0.3/au_3205.xlsx","au_3205")</f>
        <v>au_3205</v>
      </c>
      <c r="B98" s="2">
        <v>0.5</v>
      </c>
      <c r="C98" s="2">
        <v>0.5</v>
      </c>
      <c r="D98" s="2">
        <v>0.5</v>
      </c>
      <c r="E98" s="2">
        <v>1</v>
      </c>
      <c r="F98" s="2">
        <v>0.5</v>
      </c>
      <c r="G98" s="2">
        <v>1</v>
      </c>
      <c r="H98" s="4"/>
      <c r="I98" s="4"/>
      <c r="J98" s="4"/>
      <c r="K98" s="4"/>
      <c r="L98" s="4"/>
    </row>
    <row r="99" spans="1:12" x14ac:dyDescent="0.15">
      <c r="A99" s="2" t="str">
        <f>HYPERLINK("./new_k5/query_cmdrels_weight_analyze/0.4_0.3_0.3/au_323131.xlsx","au_323131")</f>
        <v>au_323131</v>
      </c>
      <c r="B99" s="2">
        <v>0.33333333333333331</v>
      </c>
      <c r="C99" s="2">
        <v>0.33333333333333331</v>
      </c>
      <c r="D99" s="2">
        <v>0.33333333333333331</v>
      </c>
      <c r="E99" s="2">
        <v>0.33333333333333331</v>
      </c>
      <c r="F99" s="2">
        <v>0.33333333333333331</v>
      </c>
      <c r="G99" s="2">
        <v>0.5</v>
      </c>
      <c r="H99" s="4"/>
      <c r="I99" s="4"/>
      <c r="J99" s="4"/>
      <c r="K99" s="4"/>
      <c r="L99" s="4"/>
    </row>
    <row r="100" spans="1:12" x14ac:dyDescent="0.15">
      <c r="A100" s="2" t="str">
        <f>HYPERLINK("./new_k5/query_cmdrels_weight_analyze/0.4_0.3_0.3/au_323392.xlsx","au_323392")</f>
        <v>au_323392</v>
      </c>
      <c r="B100" s="2">
        <v>0.125</v>
      </c>
      <c r="C100" s="2">
        <v>0.125</v>
      </c>
      <c r="D100" s="2">
        <v>0.25</v>
      </c>
      <c r="E100" s="2">
        <v>0.375</v>
      </c>
      <c r="F100" s="2">
        <v>0.25</v>
      </c>
      <c r="G100" s="2">
        <v>0.625</v>
      </c>
      <c r="H100" s="4"/>
      <c r="I100" s="4"/>
      <c r="J100" s="4"/>
      <c r="K100" s="4"/>
      <c r="L100" s="4"/>
    </row>
    <row r="101" spans="1:12" x14ac:dyDescent="0.15">
      <c r="A101" s="2" t="str">
        <f>HYPERLINK("./new_k5/query_cmdrels_weight_analyze/0.4_0.3_0.3/au_325368.xlsx","au_325368")</f>
        <v>au_325368</v>
      </c>
      <c r="B101" s="2">
        <v>1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 s="4"/>
      <c r="I101" s="4"/>
      <c r="J101" s="4"/>
      <c r="K101" s="4"/>
      <c r="L101" s="4"/>
    </row>
    <row r="102" spans="1:12" x14ac:dyDescent="0.15">
      <c r="A102" s="2" t="str">
        <f>HYPERLINK("./new_k5/query_cmdrels_weight_analyze/0.4_0.3_0.3/au_328162.xlsx","au_328162")</f>
        <v>au_328162</v>
      </c>
      <c r="B102" s="2">
        <v>0.33333333333333331</v>
      </c>
      <c r="C102" s="2">
        <v>0.33333333333333331</v>
      </c>
      <c r="D102" s="2">
        <v>1</v>
      </c>
      <c r="E102" s="2">
        <v>0.55555555555555547</v>
      </c>
      <c r="F102" s="2">
        <v>1</v>
      </c>
      <c r="G102" s="2">
        <v>0.55555555555555547</v>
      </c>
      <c r="H102" s="4"/>
      <c r="I102" s="4"/>
      <c r="J102" s="4"/>
      <c r="K102" s="4"/>
      <c r="L102" s="4"/>
    </row>
    <row r="103" spans="1:12" x14ac:dyDescent="0.15">
      <c r="A103" s="2" t="str">
        <f>HYPERLINK("./new_k5/query_cmdrels_weight_analyze/0.4_0.3_0.3/au_330148.xlsx","au_330148")</f>
        <v>au_330148</v>
      </c>
      <c r="B103" s="2">
        <v>0</v>
      </c>
      <c r="C103" s="2">
        <v>0.2</v>
      </c>
      <c r="D103" s="2">
        <v>0.23333333333333331</v>
      </c>
      <c r="E103" s="2">
        <v>0.4</v>
      </c>
      <c r="F103" s="2">
        <v>0.54333333333333333</v>
      </c>
      <c r="G103" s="2">
        <v>0.4</v>
      </c>
      <c r="H103" s="4"/>
      <c r="I103" s="4"/>
      <c r="J103" s="4"/>
      <c r="K103" s="4"/>
      <c r="L103" s="4"/>
    </row>
    <row r="104" spans="1:12" x14ac:dyDescent="0.15">
      <c r="A104" s="2" t="str">
        <f>HYPERLINK("./new_k5/query_cmdrels_weight_analyze/0.4_0.3_0.3/au_332315.xlsx","au_332315")</f>
        <v>au_332315</v>
      </c>
      <c r="B104" s="2">
        <v>0.33333333333333331</v>
      </c>
      <c r="C104" s="2">
        <v>0</v>
      </c>
      <c r="D104" s="2">
        <v>0.55555555555555547</v>
      </c>
      <c r="E104" s="2">
        <v>0.16666666666666671</v>
      </c>
      <c r="F104" s="2">
        <v>0.75555555555555554</v>
      </c>
      <c r="G104" s="2">
        <v>0.16666666666666671</v>
      </c>
      <c r="H104" s="4"/>
      <c r="I104" s="4"/>
      <c r="J104" s="4"/>
      <c r="K104" s="4"/>
      <c r="L104" s="4"/>
    </row>
    <row r="105" spans="1:12" x14ac:dyDescent="0.15">
      <c r="A105" s="2" t="str">
        <f>HYPERLINK("./new_k5/query_cmdrels_weight_analyze/0.4_0.3_0.3/au_334081.xlsx","au_334081")</f>
        <v>au_334081</v>
      </c>
      <c r="B105" s="2">
        <v>0.25</v>
      </c>
      <c r="C105" s="2">
        <v>0.25</v>
      </c>
      <c r="D105" s="2">
        <v>0.41666666666666657</v>
      </c>
      <c r="E105" s="2">
        <v>0.75</v>
      </c>
      <c r="F105" s="2">
        <v>0.41666666666666657</v>
      </c>
      <c r="G105" s="2">
        <v>0.75</v>
      </c>
      <c r="H105" s="4"/>
      <c r="I105" s="4"/>
      <c r="J105" s="4"/>
      <c r="K105" s="4"/>
      <c r="L105" s="4"/>
    </row>
    <row r="106" spans="1:12" x14ac:dyDescent="0.15">
      <c r="A106" s="2" t="str">
        <f>HYPERLINK("./new_k5/query_cmdrels_weight_analyze/0.4_0.3_0.3/au_34077.xlsx","au_34077")</f>
        <v>au_34077</v>
      </c>
      <c r="B106" s="2">
        <v>0.16666666666666671</v>
      </c>
      <c r="C106" s="2">
        <v>0.16666666666666671</v>
      </c>
      <c r="D106" s="2">
        <v>0.33333333333333331</v>
      </c>
      <c r="E106" s="2">
        <v>0.33333333333333331</v>
      </c>
      <c r="F106" s="2">
        <v>0.33333333333333331</v>
      </c>
      <c r="G106" s="2">
        <v>0.59166666666666667</v>
      </c>
      <c r="H106" s="4"/>
      <c r="I106" s="4"/>
      <c r="J106" s="4"/>
      <c r="K106" s="4"/>
      <c r="L106" s="4"/>
    </row>
    <row r="107" spans="1:12" x14ac:dyDescent="0.15">
      <c r="A107" s="2" t="str">
        <f>HYPERLINK("./new_k5/query_cmdrels_weight_analyze/0.4_0.3_0.3/au_341428.xlsx","au_341428")</f>
        <v>au_341428</v>
      </c>
      <c r="B107" s="2">
        <v>0.14285714285714279</v>
      </c>
      <c r="C107" s="2">
        <v>0.14285714285714279</v>
      </c>
      <c r="D107" s="2">
        <v>0.42857142857142849</v>
      </c>
      <c r="E107" s="2">
        <v>0.2857142857142857</v>
      </c>
      <c r="F107" s="2">
        <v>0.5714285714285714</v>
      </c>
      <c r="G107" s="2">
        <v>0.50714285714285712</v>
      </c>
      <c r="H107" s="4"/>
      <c r="I107" s="4"/>
      <c r="J107" s="4"/>
      <c r="K107" s="4"/>
      <c r="L107" s="4"/>
    </row>
    <row r="108" spans="1:12" x14ac:dyDescent="0.15">
      <c r="A108" s="2" t="str">
        <f>HYPERLINK("./new_k5/query_cmdrels_weight_analyze/0.4_0.3_0.3/au_341584.xlsx","au_341584")</f>
        <v>au_341584</v>
      </c>
      <c r="B108" s="2">
        <v>0.25</v>
      </c>
      <c r="C108" s="2">
        <v>0</v>
      </c>
      <c r="D108" s="2">
        <v>0.5</v>
      </c>
      <c r="E108" s="2">
        <v>0.125</v>
      </c>
      <c r="F108" s="2">
        <v>0.5</v>
      </c>
      <c r="G108" s="2">
        <v>0.125</v>
      </c>
      <c r="H108" s="4"/>
      <c r="I108" s="4"/>
      <c r="J108" s="4"/>
      <c r="K108" s="4"/>
      <c r="L108" s="4"/>
    </row>
    <row r="109" spans="1:12" x14ac:dyDescent="0.15">
      <c r="A109" s="2" t="str">
        <f>HYPERLINK("./new_k5/query_cmdrels_weight_analyze/0.4_0.3_0.3/au_346864.xlsx","au_346864")</f>
        <v>au_346864</v>
      </c>
      <c r="B109" s="2">
        <v>0.14285714285714279</v>
      </c>
      <c r="C109" s="2">
        <v>0.14285714285714279</v>
      </c>
      <c r="D109" s="2">
        <v>0.23809523809523811</v>
      </c>
      <c r="E109" s="2">
        <v>0.2857142857142857</v>
      </c>
      <c r="F109" s="2">
        <v>0.23809523809523811</v>
      </c>
      <c r="G109" s="2">
        <v>0.37142857142857139</v>
      </c>
      <c r="H109" s="4"/>
      <c r="I109" s="4"/>
      <c r="J109" s="4"/>
      <c r="K109" s="4"/>
      <c r="L109" s="4"/>
    </row>
    <row r="110" spans="1:12" x14ac:dyDescent="0.15">
      <c r="A110" s="2" t="str">
        <f>HYPERLINK("./new_k5/query_cmdrels_weight_analyze/0.4_0.3_0.3/au_351765.xlsx","au_351765")</f>
        <v>au_351765</v>
      </c>
      <c r="B110" s="2">
        <v>0</v>
      </c>
      <c r="C110" s="2">
        <v>0.5</v>
      </c>
      <c r="D110" s="2">
        <v>0</v>
      </c>
      <c r="E110" s="2">
        <v>0.5</v>
      </c>
      <c r="F110" s="2">
        <v>0</v>
      </c>
      <c r="G110" s="2">
        <v>0.5</v>
      </c>
      <c r="H110" s="4"/>
      <c r="I110" s="4"/>
      <c r="J110" s="4"/>
      <c r="K110" s="4"/>
      <c r="L110" s="4"/>
    </row>
    <row r="111" spans="1:12" x14ac:dyDescent="0.15">
      <c r="A111" s="2" t="str">
        <f>HYPERLINK("./new_k5/query_cmdrels_weight_analyze/0.4_0.3_0.3/au_35922.xlsx","au_35922")</f>
        <v>au_35922</v>
      </c>
      <c r="B111" s="2">
        <v>0</v>
      </c>
      <c r="C111" s="2">
        <v>0.5</v>
      </c>
      <c r="D111" s="2">
        <v>0</v>
      </c>
      <c r="E111" s="2">
        <v>0.5</v>
      </c>
      <c r="F111" s="2">
        <v>0</v>
      </c>
      <c r="G111" s="2">
        <v>0.5</v>
      </c>
      <c r="H111" s="4"/>
      <c r="I111" s="4"/>
      <c r="J111" s="4"/>
      <c r="K111" s="4"/>
      <c r="L111" s="4"/>
    </row>
    <row r="112" spans="1:12" x14ac:dyDescent="0.15">
      <c r="A112" s="2" t="str">
        <f>HYPERLINK("./new_k5/query_cmdrels_weight_analyze/0.4_0.3_0.3/au_359856.xlsx","au_359856")</f>
        <v>au_359856</v>
      </c>
      <c r="B112" s="2">
        <v>0.25</v>
      </c>
      <c r="C112" s="2">
        <v>0.25</v>
      </c>
      <c r="D112" s="2">
        <v>0.75</v>
      </c>
      <c r="E112" s="2">
        <v>0.5</v>
      </c>
      <c r="F112" s="2">
        <v>0.95</v>
      </c>
      <c r="G112" s="2">
        <v>0.5</v>
      </c>
      <c r="H112" s="4"/>
      <c r="I112" s="4"/>
      <c r="J112" s="4"/>
      <c r="K112" s="4"/>
      <c r="L112" s="4"/>
    </row>
    <row r="113" spans="1:12" x14ac:dyDescent="0.15">
      <c r="A113" s="2" t="str">
        <f>HYPERLINK("./new_k5/query_cmdrels_weight_analyze/0.4_0.3_0.3/au_360423.xlsx","au_360423")</f>
        <v>au_360423</v>
      </c>
      <c r="B113" s="2">
        <v>0</v>
      </c>
      <c r="C113" s="2">
        <v>0</v>
      </c>
      <c r="D113" s="2">
        <v>0</v>
      </c>
      <c r="E113" s="2">
        <v>0.16666666666666671</v>
      </c>
      <c r="F113" s="2">
        <v>0</v>
      </c>
      <c r="G113" s="2">
        <v>0.16666666666666671</v>
      </c>
      <c r="H113" s="4"/>
      <c r="I113" s="4"/>
      <c r="J113" s="4"/>
      <c r="K113" s="4"/>
      <c r="L113" s="4"/>
    </row>
    <row r="114" spans="1:12" x14ac:dyDescent="0.15">
      <c r="A114" s="2" t="str">
        <f>HYPERLINK("./new_k5/query_cmdrels_weight_analyze/0.4_0.3_0.3/au_36287.xlsx","au_36287")</f>
        <v>au_36287</v>
      </c>
      <c r="B114" s="2">
        <v>1</v>
      </c>
      <c r="C114" s="2">
        <v>1</v>
      </c>
      <c r="D114" s="2">
        <v>1</v>
      </c>
      <c r="E114" s="2">
        <v>1</v>
      </c>
      <c r="F114" s="2">
        <v>1</v>
      </c>
      <c r="G114" s="2">
        <v>1</v>
      </c>
      <c r="H114" s="4"/>
      <c r="I114" s="4"/>
      <c r="J114" s="4"/>
      <c r="K114" s="4"/>
      <c r="L114" s="4"/>
    </row>
    <row r="115" spans="1:12" x14ac:dyDescent="0.15">
      <c r="A115" s="2" t="str">
        <f>HYPERLINK("./new_k5/query_cmdrels_weight_analyze/0.4_0.3_0.3/au_366742.xlsx","au_366742")</f>
        <v>au_366742</v>
      </c>
      <c r="B115" s="2">
        <v>0</v>
      </c>
      <c r="C115" s="2">
        <v>0</v>
      </c>
      <c r="D115" s="2">
        <v>0</v>
      </c>
      <c r="E115" s="2">
        <v>0.125</v>
      </c>
      <c r="F115" s="2">
        <v>0</v>
      </c>
      <c r="G115" s="2">
        <v>0.22500000000000001</v>
      </c>
      <c r="H115" s="4"/>
      <c r="I115" s="4"/>
      <c r="J115" s="4"/>
      <c r="K115" s="4"/>
      <c r="L115" s="4"/>
    </row>
    <row r="116" spans="1:12" x14ac:dyDescent="0.15">
      <c r="A116" s="2" t="str">
        <f>HYPERLINK("./new_k5/query_cmdrels_weight_analyze/0.4_0.3_0.3/au_377937.xlsx","au_377937")</f>
        <v>au_377937</v>
      </c>
      <c r="B116" s="2">
        <v>0.25</v>
      </c>
      <c r="C116" s="2">
        <v>0.25</v>
      </c>
      <c r="D116" s="2">
        <v>0.5</v>
      </c>
      <c r="E116" s="2">
        <v>0.5</v>
      </c>
      <c r="F116" s="2">
        <v>0.5</v>
      </c>
      <c r="G116" s="2">
        <v>0.6875</v>
      </c>
      <c r="H116" s="4"/>
      <c r="I116" s="4"/>
      <c r="J116" s="4"/>
      <c r="K116" s="4"/>
      <c r="L116" s="4"/>
    </row>
    <row r="117" spans="1:12" x14ac:dyDescent="0.15">
      <c r="A117" s="2" t="str">
        <f>HYPERLINK("./new_k5/query_cmdrels_weight_analyze/0.4_0.3_0.3/au_383997.xlsx","au_383997")</f>
        <v>au_383997</v>
      </c>
      <c r="B117" s="2">
        <v>0.14285714285714279</v>
      </c>
      <c r="C117" s="2">
        <v>0.14285714285714279</v>
      </c>
      <c r="D117" s="2">
        <v>0.2857142857142857</v>
      </c>
      <c r="E117" s="2">
        <v>0.2857142857142857</v>
      </c>
      <c r="F117" s="2">
        <v>0.2857142857142857</v>
      </c>
      <c r="G117" s="2">
        <v>0.39285714285714279</v>
      </c>
      <c r="H117" s="4"/>
      <c r="I117" s="4"/>
      <c r="J117" s="4"/>
      <c r="K117" s="4"/>
      <c r="L117" s="4"/>
    </row>
    <row r="118" spans="1:12" x14ac:dyDescent="0.15">
      <c r="A118" s="2" t="str">
        <f>HYPERLINK("./new_k5/query_cmdrels_weight_analyze/0.4_0.3_0.3/au_3883.xlsx","au_3883")</f>
        <v>au_3883</v>
      </c>
      <c r="B118" s="2">
        <v>0.25</v>
      </c>
      <c r="C118" s="2">
        <v>0.25</v>
      </c>
      <c r="D118" s="2">
        <v>0.25</v>
      </c>
      <c r="E118" s="2">
        <v>0.25</v>
      </c>
      <c r="F118" s="2">
        <v>0.375</v>
      </c>
      <c r="G118" s="2">
        <v>0.35</v>
      </c>
      <c r="H118" s="4"/>
      <c r="I118" s="4"/>
      <c r="J118" s="4"/>
      <c r="K118" s="4"/>
      <c r="L118" s="4"/>
    </row>
    <row r="119" spans="1:12" x14ac:dyDescent="0.15">
      <c r="A119" s="2" t="str">
        <f>HYPERLINK("./new_k5/query_cmdrels_weight_analyze/0.4_0.3_0.3/au_396883.xlsx","au_396883")</f>
        <v>au_396883</v>
      </c>
      <c r="B119" s="2">
        <v>0.5</v>
      </c>
      <c r="C119" s="2">
        <v>0.5</v>
      </c>
      <c r="D119" s="2">
        <v>0.5</v>
      </c>
      <c r="E119" s="2">
        <v>0.5</v>
      </c>
      <c r="F119" s="2">
        <v>0.5</v>
      </c>
      <c r="G119" s="2">
        <v>0.5</v>
      </c>
      <c r="H119" s="4"/>
      <c r="I119" s="4"/>
      <c r="J119" s="4"/>
      <c r="K119" s="4"/>
      <c r="L119" s="4"/>
    </row>
    <row r="120" spans="1:12" x14ac:dyDescent="0.15">
      <c r="A120" s="2" t="str">
        <f>HYPERLINK("./new_k5/query_cmdrels_weight_analyze/0.4_0.3_0.3/au_39760.xlsx","au_39760")</f>
        <v>au_39760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4"/>
      <c r="I120" s="4"/>
      <c r="J120" s="4"/>
      <c r="K120" s="4"/>
      <c r="L120" s="4"/>
    </row>
    <row r="121" spans="1:12" x14ac:dyDescent="0.15">
      <c r="A121" s="2" t="str">
        <f>HYPERLINK("./new_k5/query_cmdrels_weight_analyze/0.4_0.3_0.3/au_398818.xlsx","au_398818")</f>
        <v>au_398818</v>
      </c>
      <c r="B121" s="2">
        <v>0.5</v>
      </c>
      <c r="C121" s="2">
        <v>0.5</v>
      </c>
      <c r="D121" s="2">
        <v>0.83333333333333326</v>
      </c>
      <c r="E121" s="2">
        <v>0.83333333333333326</v>
      </c>
      <c r="F121" s="2">
        <v>0.83333333333333326</v>
      </c>
      <c r="G121" s="2">
        <v>0.83333333333333326</v>
      </c>
      <c r="H121" s="4"/>
      <c r="I121" s="4"/>
      <c r="J121" s="4"/>
      <c r="K121" s="4"/>
      <c r="L121" s="4"/>
    </row>
    <row r="122" spans="1:12" x14ac:dyDescent="0.15">
      <c r="A122" s="2" t="str">
        <f>HYPERLINK("./new_k5/query_cmdrels_weight_analyze/0.4_0.3_0.3/au_400807.xlsx","au_400807")</f>
        <v>au_400807</v>
      </c>
      <c r="B122" s="2">
        <v>0</v>
      </c>
      <c r="C122" s="2">
        <v>0.33333333333333331</v>
      </c>
      <c r="D122" s="2">
        <v>0.16666666666666671</v>
      </c>
      <c r="E122" s="2">
        <v>0.66666666666666663</v>
      </c>
      <c r="F122" s="2">
        <v>0.16666666666666671</v>
      </c>
      <c r="G122" s="2">
        <v>0.91666666666666663</v>
      </c>
      <c r="H122" s="4"/>
      <c r="I122" s="4"/>
      <c r="J122" s="4"/>
      <c r="K122" s="4"/>
      <c r="L122" s="4"/>
    </row>
    <row r="123" spans="1:12" x14ac:dyDescent="0.15">
      <c r="A123" s="2" t="str">
        <f>HYPERLINK("./new_k5/query_cmdrels_weight_analyze/0.4_0.3_0.3/au_408611.xlsx","au_408611")</f>
        <v>au_408611</v>
      </c>
      <c r="B123" s="2">
        <v>0.33333333333333331</v>
      </c>
      <c r="C123" s="2">
        <v>0.33333333333333331</v>
      </c>
      <c r="D123" s="2">
        <v>0.33333333333333331</v>
      </c>
      <c r="E123" s="2">
        <v>0.33333333333333331</v>
      </c>
      <c r="F123" s="2">
        <v>0.33333333333333331</v>
      </c>
      <c r="G123" s="2">
        <v>0.33333333333333331</v>
      </c>
      <c r="H123" s="4"/>
      <c r="I123" s="4"/>
      <c r="J123" s="4"/>
      <c r="K123" s="4"/>
      <c r="L123" s="4"/>
    </row>
    <row r="124" spans="1:12" x14ac:dyDescent="0.15">
      <c r="A124" s="2" t="str">
        <f>HYPERLINK("./new_k5/query_cmdrels_weight_analyze/0.4_0.3_0.3/au_414737.xlsx","au_414737")</f>
        <v>au_414737</v>
      </c>
      <c r="B124" s="2">
        <v>0.14285714285714279</v>
      </c>
      <c r="C124" s="2">
        <v>0</v>
      </c>
      <c r="D124" s="2">
        <v>0.14285714285714279</v>
      </c>
      <c r="E124" s="2">
        <v>7.1428571428571425E-2</v>
      </c>
      <c r="F124" s="2">
        <v>0.14285714285714279</v>
      </c>
      <c r="G124" s="2">
        <v>0.14285714285714279</v>
      </c>
      <c r="H124" s="4"/>
      <c r="I124" s="4"/>
      <c r="J124" s="4"/>
      <c r="K124" s="4"/>
      <c r="L124" s="4"/>
    </row>
    <row r="125" spans="1:12" x14ac:dyDescent="0.15">
      <c r="A125" s="2" t="str">
        <f>HYPERLINK("./new_k5/query_cmdrels_weight_analyze/0.4_0.3_0.3/au_420722.xlsx","au_420722")</f>
        <v>au_420722</v>
      </c>
      <c r="B125" s="2">
        <v>0.33333333333333331</v>
      </c>
      <c r="C125" s="2">
        <v>0.33333333333333331</v>
      </c>
      <c r="D125" s="2">
        <v>0.66666666666666663</v>
      </c>
      <c r="E125" s="2">
        <v>0.66666666666666663</v>
      </c>
      <c r="F125" s="2">
        <v>0.66666666666666663</v>
      </c>
      <c r="G125" s="2">
        <v>0.66666666666666663</v>
      </c>
      <c r="H125" s="4"/>
      <c r="I125" s="4"/>
      <c r="J125" s="4"/>
      <c r="K125" s="4"/>
      <c r="L125" s="4"/>
    </row>
    <row r="126" spans="1:12" x14ac:dyDescent="0.15">
      <c r="A126" s="2" t="str">
        <f>HYPERLINK("./new_k5/query_cmdrels_weight_analyze/0.4_0.3_0.3/au_423942.xlsx","au_423942")</f>
        <v>au_423942</v>
      </c>
      <c r="B126" s="2">
        <v>0.33333333333333331</v>
      </c>
      <c r="C126" s="2">
        <v>0.33333333333333331</v>
      </c>
      <c r="D126" s="2">
        <v>0.66666666666666663</v>
      </c>
      <c r="E126" s="2">
        <v>0.66666666666666663</v>
      </c>
      <c r="F126" s="2">
        <v>0.8666666666666667</v>
      </c>
      <c r="G126" s="2">
        <v>0.66666666666666663</v>
      </c>
      <c r="H126" s="4"/>
      <c r="I126" s="4"/>
      <c r="J126" s="4"/>
      <c r="K126" s="4"/>
      <c r="L126" s="4"/>
    </row>
    <row r="127" spans="1:12" x14ac:dyDescent="0.15">
      <c r="A127" s="2" t="str">
        <f>HYPERLINK("./new_k5/query_cmdrels_weight_analyze/0.4_0.3_0.3/au_430382.xlsx","au_430382")</f>
        <v>au_430382</v>
      </c>
      <c r="B127" s="2">
        <v>0</v>
      </c>
      <c r="C127" s="2">
        <v>0.25</v>
      </c>
      <c r="D127" s="2">
        <v>0.29166666666666657</v>
      </c>
      <c r="E127" s="2">
        <v>0.5</v>
      </c>
      <c r="F127" s="2">
        <v>0.29166666666666657</v>
      </c>
      <c r="G127" s="2">
        <v>0.5</v>
      </c>
      <c r="H127" s="4"/>
      <c r="I127" s="4"/>
      <c r="J127" s="4"/>
      <c r="K127" s="4"/>
      <c r="L127" s="4"/>
    </row>
    <row r="128" spans="1:12" x14ac:dyDescent="0.15">
      <c r="A128" s="2" t="str">
        <f>HYPERLINK("./new_k5/query_cmdrels_weight_analyze/0.4_0.3_0.3/au_432836.xlsx","au_432836")</f>
        <v>au_432836</v>
      </c>
      <c r="B128" s="2">
        <v>0.14285714285714279</v>
      </c>
      <c r="C128" s="2">
        <v>0.14285714285714279</v>
      </c>
      <c r="D128" s="2">
        <v>0.14285714285714279</v>
      </c>
      <c r="E128" s="2">
        <v>0.2857142857142857</v>
      </c>
      <c r="F128" s="2">
        <v>0.2142857142857143</v>
      </c>
      <c r="G128" s="2">
        <v>0.2857142857142857</v>
      </c>
      <c r="H128" s="4"/>
      <c r="I128" s="4"/>
      <c r="J128" s="4"/>
      <c r="K128" s="4"/>
      <c r="L128" s="4"/>
    </row>
    <row r="129" spans="1:12" x14ac:dyDescent="0.15">
      <c r="A129" s="2" t="str">
        <f>HYPERLINK("./new_k5/query_cmdrels_weight_analyze/0.4_0.3_0.3/au_440326.xlsx","au_440326")</f>
        <v>au_440326</v>
      </c>
      <c r="B129" s="2">
        <v>0.5</v>
      </c>
      <c r="C129" s="2">
        <v>0</v>
      </c>
      <c r="D129" s="2">
        <v>1</v>
      </c>
      <c r="E129" s="2">
        <v>0.58333333333333326</v>
      </c>
      <c r="F129" s="2">
        <v>1</v>
      </c>
      <c r="G129" s="2">
        <v>0.58333333333333326</v>
      </c>
      <c r="H129" s="4"/>
      <c r="I129" s="4"/>
      <c r="J129" s="4"/>
      <c r="K129" s="4"/>
      <c r="L129" s="4"/>
    </row>
    <row r="130" spans="1:12" x14ac:dyDescent="0.15">
      <c r="A130" s="2" t="str">
        <f>HYPERLINK("./new_k5/query_cmdrels_weight_analyze/0.4_0.3_0.3/au_442914.xlsx","au_442914")</f>
        <v>au_442914</v>
      </c>
      <c r="B130" s="2">
        <v>0.33333333333333331</v>
      </c>
      <c r="C130" s="2">
        <v>0</v>
      </c>
      <c r="D130" s="2">
        <v>0.66666666666666663</v>
      </c>
      <c r="E130" s="2">
        <v>0.1111111111111111</v>
      </c>
      <c r="F130" s="2">
        <v>0.8666666666666667</v>
      </c>
      <c r="G130" s="2">
        <v>0.1111111111111111</v>
      </c>
      <c r="H130" s="4"/>
      <c r="I130" s="4"/>
      <c r="J130" s="4"/>
      <c r="K130" s="4"/>
      <c r="L130" s="4"/>
    </row>
    <row r="131" spans="1:12" x14ac:dyDescent="0.15">
      <c r="A131" s="2" t="str">
        <f>HYPERLINK("./new_k5/query_cmdrels_weight_analyze/0.4_0.3_0.3/au_443227.xlsx","au_443227")</f>
        <v>au_443227</v>
      </c>
      <c r="B131" s="2">
        <v>0.5</v>
      </c>
      <c r="C131" s="2">
        <v>0</v>
      </c>
      <c r="D131" s="2">
        <v>0.5</v>
      </c>
      <c r="E131" s="2">
        <v>0.16666666666666671</v>
      </c>
      <c r="F131" s="2">
        <v>0.5</v>
      </c>
      <c r="G131" s="2">
        <v>0.16666666666666671</v>
      </c>
      <c r="H131" s="4"/>
      <c r="I131" s="4"/>
      <c r="J131" s="4"/>
      <c r="K131" s="4"/>
      <c r="L131" s="4"/>
    </row>
    <row r="132" spans="1:12" x14ac:dyDescent="0.15">
      <c r="A132" s="2" t="str">
        <f>HYPERLINK("./new_k5/query_cmdrels_weight_analyze/0.4_0.3_0.3/au_44534.xlsx","au_44534")</f>
        <v>au_44534</v>
      </c>
      <c r="B132" s="2">
        <v>0</v>
      </c>
      <c r="C132" s="2">
        <v>0</v>
      </c>
      <c r="D132" s="2">
        <v>0</v>
      </c>
      <c r="E132" s="2">
        <v>0.16666666666666671</v>
      </c>
      <c r="F132" s="2">
        <v>0</v>
      </c>
      <c r="G132" s="2">
        <v>0.16666666666666671</v>
      </c>
      <c r="H132" s="4"/>
      <c r="I132" s="4"/>
      <c r="J132" s="4"/>
      <c r="K132" s="4"/>
      <c r="L132" s="4"/>
    </row>
    <row r="133" spans="1:12" x14ac:dyDescent="0.15">
      <c r="A133" s="2" t="str">
        <f>HYPERLINK("./new_k5/query_cmdrels_weight_analyze/0.4_0.3_0.3/au_451805.xlsx","au_451805")</f>
        <v>au_451805</v>
      </c>
      <c r="B133" s="2">
        <v>0.33333333333333331</v>
      </c>
      <c r="C133" s="2">
        <v>0</v>
      </c>
      <c r="D133" s="2">
        <v>0.33333333333333331</v>
      </c>
      <c r="E133" s="2">
        <v>0.16666666666666671</v>
      </c>
      <c r="F133" s="2">
        <v>0.33333333333333331</v>
      </c>
      <c r="G133" s="2">
        <v>0.16666666666666671</v>
      </c>
      <c r="H133" s="4"/>
      <c r="I133" s="4"/>
      <c r="J133" s="4"/>
      <c r="K133" s="4"/>
      <c r="L133" s="4"/>
    </row>
    <row r="134" spans="1:12" x14ac:dyDescent="0.15">
      <c r="A134" s="2" t="str">
        <f>HYPERLINK("./new_k5/query_cmdrels_weight_analyze/0.4_0.3_0.3/au_464264.xlsx","au_464264")</f>
        <v>au_464264</v>
      </c>
      <c r="B134" s="2">
        <v>0.2</v>
      </c>
      <c r="C134" s="2">
        <v>0</v>
      </c>
      <c r="D134" s="2">
        <v>0.33333333333333331</v>
      </c>
      <c r="E134" s="2">
        <v>6.6666666666666666E-2</v>
      </c>
      <c r="F134" s="2">
        <v>0.48333333333333328</v>
      </c>
      <c r="G134" s="2">
        <v>0.16666666666666671</v>
      </c>
      <c r="H134" s="4"/>
      <c r="I134" s="4"/>
      <c r="J134" s="4"/>
      <c r="K134" s="4"/>
      <c r="L134" s="4"/>
    </row>
    <row r="135" spans="1:12" x14ac:dyDescent="0.15">
      <c r="A135" s="2" t="str">
        <f>HYPERLINK("./new_k5/query_cmdrels_weight_analyze/0.4_0.3_0.3/au_468808.xlsx","au_468808")</f>
        <v>au_468808</v>
      </c>
      <c r="B135" s="2">
        <v>0.2</v>
      </c>
      <c r="C135" s="2">
        <v>0</v>
      </c>
      <c r="D135" s="2">
        <v>0.4</v>
      </c>
      <c r="E135" s="2">
        <v>0.1</v>
      </c>
      <c r="F135" s="2">
        <v>0.4</v>
      </c>
      <c r="G135" s="2">
        <v>0.18</v>
      </c>
      <c r="H135" s="4"/>
      <c r="I135" s="4"/>
      <c r="J135" s="4"/>
      <c r="K135" s="4"/>
      <c r="L135" s="4"/>
    </row>
    <row r="136" spans="1:12" x14ac:dyDescent="0.15">
      <c r="A136" s="2" t="str">
        <f>HYPERLINK("./new_k5/query_cmdrels_weight_analyze/0.4_0.3_0.3/au_469143.xlsx","au_469143")</f>
        <v>au_469143</v>
      </c>
      <c r="B136" s="2">
        <v>0.2</v>
      </c>
      <c r="C136" s="2">
        <v>0.2</v>
      </c>
      <c r="D136" s="2">
        <v>0.33333333333333331</v>
      </c>
      <c r="E136" s="2">
        <v>0.33333333333333331</v>
      </c>
      <c r="F136" s="2">
        <v>0.33333333333333331</v>
      </c>
      <c r="G136" s="2">
        <v>0.45333333333333331</v>
      </c>
      <c r="H136" s="4"/>
      <c r="I136" s="4"/>
      <c r="J136" s="4"/>
      <c r="K136" s="4"/>
      <c r="L136" s="4"/>
    </row>
    <row r="137" spans="1:12" x14ac:dyDescent="0.15">
      <c r="A137" s="2" t="str">
        <f>HYPERLINK("./new_k5/query_cmdrels_weight_analyze/0.4_0.3_0.3/au_470237.xlsx","au_470237")</f>
        <v>au_470237</v>
      </c>
      <c r="B137" s="2">
        <v>0.2</v>
      </c>
      <c r="C137" s="2">
        <v>0.2</v>
      </c>
      <c r="D137" s="2">
        <v>0.2</v>
      </c>
      <c r="E137" s="2">
        <v>0.33333333333333331</v>
      </c>
      <c r="F137" s="2">
        <v>0.2</v>
      </c>
      <c r="G137" s="2">
        <v>0.33333333333333331</v>
      </c>
      <c r="H137" s="4"/>
      <c r="I137" s="4"/>
      <c r="J137" s="4"/>
      <c r="K137" s="4"/>
      <c r="L137" s="4"/>
    </row>
    <row r="138" spans="1:12" x14ac:dyDescent="0.15">
      <c r="A138" s="2" t="str">
        <f>HYPERLINK("./new_k5/query_cmdrels_weight_analyze/0.4_0.3_0.3/au_473037.xlsx","au_473037")</f>
        <v>au_473037</v>
      </c>
      <c r="B138" s="2">
        <v>0.5</v>
      </c>
      <c r="C138" s="2">
        <v>0</v>
      </c>
      <c r="D138" s="2">
        <v>0.83333333333333326</v>
      </c>
      <c r="E138" s="2">
        <v>0</v>
      </c>
      <c r="F138" s="2">
        <v>0.83333333333333326</v>
      </c>
      <c r="G138" s="2">
        <v>0.125</v>
      </c>
      <c r="H138" s="4"/>
      <c r="I138" s="4"/>
      <c r="J138" s="4"/>
      <c r="K138" s="4"/>
      <c r="L138" s="4"/>
    </row>
    <row r="139" spans="1:12" x14ac:dyDescent="0.15">
      <c r="A139" s="2" t="str">
        <f>HYPERLINK("./new_k5/query_cmdrels_weight_analyze/0.4_0.3_0.3/au_48362.xlsx","au_48362")</f>
        <v>au_48362</v>
      </c>
      <c r="B139" s="2">
        <v>0.25</v>
      </c>
      <c r="C139" s="2">
        <v>0.25</v>
      </c>
      <c r="D139" s="2">
        <v>0.5</v>
      </c>
      <c r="E139" s="2">
        <v>0.75</v>
      </c>
      <c r="F139" s="2">
        <v>0.5</v>
      </c>
      <c r="G139" s="2">
        <v>0.75</v>
      </c>
      <c r="H139" s="4"/>
      <c r="I139" s="4"/>
      <c r="J139" s="4"/>
      <c r="K139" s="4"/>
      <c r="L139" s="4"/>
    </row>
    <row r="140" spans="1:12" x14ac:dyDescent="0.15">
      <c r="A140" s="2" t="str">
        <f>HYPERLINK("./new_k5/query_cmdrels_weight_analyze/0.4_0.3_0.3/au_488435.xlsx","au_488435")</f>
        <v>au_488435</v>
      </c>
      <c r="B140" s="2">
        <v>0</v>
      </c>
      <c r="C140" s="2">
        <v>0</v>
      </c>
      <c r="D140" s="2">
        <v>0.125</v>
      </c>
      <c r="E140" s="2">
        <v>0.125</v>
      </c>
      <c r="F140" s="2">
        <v>0.25</v>
      </c>
      <c r="G140" s="2">
        <v>0.125</v>
      </c>
      <c r="H140" s="4"/>
      <c r="I140" s="4"/>
      <c r="J140" s="4"/>
      <c r="K140" s="4"/>
      <c r="L140" s="4"/>
    </row>
    <row r="141" spans="1:12" x14ac:dyDescent="0.15">
      <c r="A141" s="2" t="str">
        <f>HYPERLINK("./new_k5/query_cmdrels_weight_analyze/0.4_0.3_0.3/au_493826.xlsx","au_493826")</f>
        <v>au_493826</v>
      </c>
      <c r="B141" s="2">
        <v>0.14285714285714279</v>
      </c>
      <c r="C141" s="2">
        <v>0.14285714285714279</v>
      </c>
      <c r="D141" s="2">
        <v>0.14285714285714279</v>
      </c>
      <c r="E141" s="2">
        <v>0.2857142857142857</v>
      </c>
      <c r="F141" s="2">
        <v>0.14285714285714279</v>
      </c>
      <c r="G141" s="2">
        <v>0.2857142857142857</v>
      </c>
      <c r="H141" s="4"/>
      <c r="I141" s="4"/>
      <c r="J141" s="4"/>
      <c r="K141" s="4"/>
      <c r="L141" s="4"/>
    </row>
    <row r="142" spans="1:12" x14ac:dyDescent="0.15">
      <c r="A142" s="2" t="str">
        <f>HYPERLINK("./new_k5/query_cmdrels_weight_analyze/0.4_0.3_0.3/au_502110.xlsx","au_502110")</f>
        <v>au_502110</v>
      </c>
      <c r="B142" s="2">
        <v>1</v>
      </c>
      <c r="C142" s="2">
        <v>0</v>
      </c>
      <c r="D142" s="2">
        <v>1</v>
      </c>
      <c r="E142" s="2">
        <v>0.5</v>
      </c>
      <c r="F142" s="2">
        <v>1</v>
      </c>
      <c r="G142" s="2">
        <v>0.5</v>
      </c>
      <c r="H142" s="4"/>
      <c r="I142" s="4"/>
      <c r="J142" s="4"/>
      <c r="K142" s="4"/>
      <c r="L142" s="4"/>
    </row>
    <row r="143" spans="1:12" x14ac:dyDescent="0.15">
      <c r="A143" s="2" t="str">
        <f>HYPERLINK("./new_k5/query_cmdrels_weight_analyze/0.4_0.3_0.3/au_50344.xlsx","au_50344")</f>
        <v>au_50344</v>
      </c>
      <c r="B143" s="2">
        <v>0</v>
      </c>
      <c r="C143" s="2">
        <v>0.25</v>
      </c>
      <c r="D143" s="2">
        <v>0.29166666666666657</v>
      </c>
      <c r="E143" s="2">
        <v>0.25</v>
      </c>
      <c r="F143" s="2">
        <v>0.29166666666666657</v>
      </c>
      <c r="G143" s="2">
        <v>0.25</v>
      </c>
      <c r="H143" s="4"/>
      <c r="I143" s="4"/>
      <c r="J143" s="4"/>
      <c r="K143" s="4"/>
      <c r="L143" s="4"/>
    </row>
    <row r="144" spans="1:12" x14ac:dyDescent="0.15">
      <c r="A144" s="2" t="str">
        <f>HYPERLINK("./new_k5/query_cmdrels_weight_analyze/0.4_0.3_0.3/au_511467.xlsx","au_511467")</f>
        <v>au_511467</v>
      </c>
      <c r="B144" s="2">
        <v>0</v>
      </c>
      <c r="C144" s="2">
        <v>0.16666666666666671</v>
      </c>
      <c r="D144" s="2">
        <v>0.19444444444444439</v>
      </c>
      <c r="E144" s="2">
        <v>0.33333333333333331</v>
      </c>
      <c r="F144" s="2">
        <v>0.19444444444444439</v>
      </c>
      <c r="G144" s="2">
        <v>0.45833333333333331</v>
      </c>
      <c r="H144" s="4"/>
      <c r="I144" s="4"/>
      <c r="J144" s="4"/>
      <c r="K144" s="4"/>
      <c r="L144" s="4"/>
    </row>
    <row r="145" spans="1:12" x14ac:dyDescent="0.15">
      <c r="A145" s="2" t="str">
        <f>HYPERLINK("./new_k5/query_cmdrels_weight_analyze/0.4_0.3_0.3/au_513046.xlsx","au_513046")</f>
        <v>au_513046</v>
      </c>
      <c r="B145" s="2">
        <v>0.25</v>
      </c>
      <c r="C145" s="2">
        <v>0</v>
      </c>
      <c r="D145" s="2">
        <v>0.5</v>
      </c>
      <c r="E145" s="2">
        <v>8.3333333333333329E-2</v>
      </c>
      <c r="F145" s="2">
        <v>0.5</v>
      </c>
      <c r="G145" s="2">
        <v>0.35833333333333328</v>
      </c>
      <c r="H145" s="4"/>
      <c r="I145" s="4"/>
      <c r="J145" s="4"/>
      <c r="K145" s="4"/>
      <c r="L145" s="4"/>
    </row>
    <row r="146" spans="1:12" x14ac:dyDescent="0.15">
      <c r="A146" s="2" t="str">
        <f>HYPERLINK("./new_k5/query_cmdrels_weight_analyze/0.4_0.3_0.3/au_517354.xlsx","au_517354")</f>
        <v>au_517354</v>
      </c>
      <c r="B146" s="2">
        <v>0.14285714285714279</v>
      </c>
      <c r="C146" s="2">
        <v>0.14285714285714279</v>
      </c>
      <c r="D146" s="2">
        <v>0.14285714285714279</v>
      </c>
      <c r="E146" s="2">
        <v>0.23809523809523811</v>
      </c>
      <c r="F146" s="2">
        <v>0.2142857142857143</v>
      </c>
      <c r="G146" s="2">
        <v>0.34523809523809518</v>
      </c>
      <c r="H146" s="4"/>
      <c r="I146" s="4"/>
      <c r="J146" s="4"/>
      <c r="K146" s="4"/>
      <c r="L146" s="4"/>
    </row>
    <row r="147" spans="1:12" x14ac:dyDescent="0.15">
      <c r="A147" s="2" t="str">
        <f>HYPERLINK("./new_k5/query_cmdrels_weight_analyze/0.4_0.3_0.3/au_522431.xlsx","au_522431")</f>
        <v>au_522431</v>
      </c>
      <c r="B147" s="2">
        <v>0</v>
      </c>
      <c r="C147" s="2">
        <v>0</v>
      </c>
      <c r="D147" s="2">
        <v>0.23333333333333331</v>
      </c>
      <c r="E147" s="2">
        <v>0.23333333333333331</v>
      </c>
      <c r="F147" s="2">
        <v>0.54333333333333333</v>
      </c>
      <c r="G147" s="2">
        <v>0.3833333333333333</v>
      </c>
      <c r="H147" s="4"/>
      <c r="I147" s="4"/>
      <c r="J147" s="4"/>
      <c r="K147" s="4"/>
      <c r="L147" s="4"/>
    </row>
    <row r="148" spans="1:12" x14ac:dyDescent="0.15">
      <c r="A148" s="2" t="str">
        <f>HYPERLINK("./new_k5/query_cmdrels_weight_analyze/0.4_0.3_0.3/au_52773.xlsx","au_52773")</f>
        <v>au_52773</v>
      </c>
      <c r="B148" s="2">
        <v>0</v>
      </c>
      <c r="C148" s="2">
        <v>0</v>
      </c>
      <c r="D148" s="2">
        <v>0.23333333333333331</v>
      </c>
      <c r="E148" s="2">
        <v>0</v>
      </c>
      <c r="F148" s="2">
        <v>0.23333333333333331</v>
      </c>
      <c r="G148" s="2">
        <v>0.05</v>
      </c>
      <c r="H148" s="4"/>
      <c r="I148" s="4"/>
      <c r="J148" s="4"/>
      <c r="K148" s="4"/>
      <c r="L148" s="4"/>
    </row>
    <row r="149" spans="1:12" x14ac:dyDescent="0.15">
      <c r="A149" s="2" t="str">
        <f>HYPERLINK("./new_k5/query_cmdrels_weight_analyze/0.4_0.3_0.3/au_528411.xlsx","au_528411")</f>
        <v>au_528411</v>
      </c>
      <c r="B149" s="2">
        <v>0</v>
      </c>
      <c r="C149" s="2">
        <v>0</v>
      </c>
      <c r="D149" s="2">
        <v>0</v>
      </c>
      <c r="E149" s="2">
        <v>0.25</v>
      </c>
      <c r="F149" s="2">
        <v>0</v>
      </c>
      <c r="G149" s="2">
        <v>0.25</v>
      </c>
      <c r="H149" s="4"/>
      <c r="I149" s="4"/>
      <c r="J149" s="4"/>
      <c r="K149" s="4"/>
      <c r="L149" s="4"/>
    </row>
    <row r="150" spans="1:12" x14ac:dyDescent="0.15">
      <c r="A150" s="2" t="str">
        <f>HYPERLINK("./new_k5/query_cmdrels_weight_analyze/0.4_0.3_0.3/au_53263.xlsx","au_53263")</f>
        <v>au_53263</v>
      </c>
      <c r="B150" s="2">
        <v>0.25</v>
      </c>
      <c r="C150" s="2">
        <v>0.25</v>
      </c>
      <c r="D150" s="2">
        <v>0.75</v>
      </c>
      <c r="E150" s="2">
        <v>0.75</v>
      </c>
      <c r="F150" s="2">
        <v>0.75</v>
      </c>
      <c r="G150" s="2">
        <v>1</v>
      </c>
      <c r="H150" s="4"/>
      <c r="I150" s="4"/>
      <c r="J150" s="4"/>
      <c r="K150" s="4"/>
      <c r="L150" s="4"/>
    </row>
    <row r="151" spans="1:12" x14ac:dyDescent="0.15">
      <c r="A151" s="2" t="str">
        <f>HYPERLINK("./new_k5/query_cmdrels_weight_analyze/0.4_0.3_0.3/au_53444.xlsx","au_53444")</f>
        <v>au_53444</v>
      </c>
      <c r="B151" s="2">
        <v>0.5</v>
      </c>
      <c r="C151" s="2">
        <v>0</v>
      </c>
      <c r="D151" s="2">
        <v>0.5</v>
      </c>
      <c r="E151" s="2">
        <v>0.16666666666666671</v>
      </c>
      <c r="F151" s="2">
        <v>0.5</v>
      </c>
      <c r="G151" s="2">
        <v>0.16666666666666671</v>
      </c>
      <c r="H151" s="4"/>
      <c r="I151" s="4"/>
      <c r="J151" s="4"/>
      <c r="K151" s="4"/>
      <c r="L151" s="4"/>
    </row>
    <row r="152" spans="1:12" x14ac:dyDescent="0.15">
      <c r="A152" s="2" t="str">
        <f>HYPERLINK("./new_k5/query_cmdrels_weight_analyze/0.4_0.3_0.3/au_538208.xlsx","au_538208")</f>
        <v>au_538208</v>
      </c>
      <c r="B152" s="2">
        <v>0.125</v>
      </c>
      <c r="C152" s="2">
        <v>0.125</v>
      </c>
      <c r="D152" s="2">
        <v>0.375</v>
      </c>
      <c r="E152" s="2">
        <v>0.25</v>
      </c>
      <c r="F152" s="2">
        <v>0.5</v>
      </c>
      <c r="G152" s="2">
        <v>0.44374999999999998</v>
      </c>
      <c r="H152" s="4"/>
      <c r="I152" s="4"/>
      <c r="J152" s="4"/>
      <c r="K152" s="4"/>
      <c r="L152" s="4"/>
    </row>
    <row r="153" spans="1:12" x14ac:dyDescent="0.15">
      <c r="A153" s="2" t="str">
        <f>HYPERLINK("./new_k5/query_cmdrels_weight_analyze/0.4_0.3_0.3/au_53822.xlsx","au_53822")</f>
        <v>au_53822</v>
      </c>
      <c r="B153" s="2">
        <v>1</v>
      </c>
      <c r="C153" s="2">
        <v>1</v>
      </c>
      <c r="D153" s="2">
        <v>1</v>
      </c>
      <c r="E153" s="2">
        <v>1</v>
      </c>
      <c r="F153" s="2">
        <v>1</v>
      </c>
      <c r="G153" s="2">
        <v>1</v>
      </c>
      <c r="H153" s="4"/>
      <c r="I153" s="4"/>
      <c r="J153" s="4"/>
      <c r="K153" s="4"/>
      <c r="L153" s="4"/>
    </row>
    <row r="154" spans="1:12" x14ac:dyDescent="0.15">
      <c r="A154" s="2" t="str">
        <f>HYPERLINK("./new_k5/query_cmdrels_weight_analyze/0.4_0.3_0.3/au_539243.xlsx","au_539243")</f>
        <v>au_539243</v>
      </c>
      <c r="B154" s="2">
        <v>0.33333333333333331</v>
      </c>
      <c r="C154" s="2">
        <v>0</v>
      </c>
      <c r="D154" s="2">
        <v>0.66666666666666663</v>
      </c>
      <c r="E154" s="2">
        <v>0.16666666666666671</v>
      </c>
      <c r="F154" s="2">
        <v>0.66666666666666663</v>
      </c>
      <c r="G154" s="2">
        <v>0.33333333333333331</v>
      </c>
      <c r="H154" s="4"/>
      <c r="I154" s="4"/>
      <c r="J154" s="4"/>
      <c r="K154" s="4"/>
      <c r="L154" s="4"/>
    </row>
    <row r="155" spans="1:12" x14ac:dyDescent="0.15">
      <c r="A155" s="2" t="str">
        <f>HYPERLINK("./new_k5/query_cmdrels_weight_analyze/0.4_0.3_0.3/au_558280.xlsx","au_558280")</f>
        <v>au_558280</v>
      </c>
      <c r="B155" s="2">
        <v>0.33333333333333331</v>
      </c>
      <c r="C155" s="2">
        <v>0</v>
      </c>
      <c r="D155" s="2">
        <v>0.66666666666666663</v>
      </c>
      <c r="E155" s="2">
        <v>0.38888888888888878</v>
      </c>
      <c r="F155" s="2">
        <v>0.66666666666666663</v>
      </c>
      <c r="G155" s="2">
        <v>0.58888888888888891</v>
      </c>
      <c r="H155" s="4"/>
      <c r="I155" s="4"/>
      <c r="J155" s="4"/>
      <c r="K155" s="4"/>
      <c r="L155" s="4"/>
    </row>
    <row r="156" spans="1:12" x14ac:dyDescent="0.15">
      <c r="A156" s="2" t="str">
        <f>HYPERLINK("./new_k5/query_cmdrels_weight_analyze/0.4_0.3_0.3/au_558669.xlsx","au_558669")</f>
        <v>au_558669</v>
      </c>
      <c r="B156" s="2">
        <v>0</v>
      </c>
      <c r="C156" s="2">
        <v>1</v>
      </c>
      <c r="D156" s="2">
        <v>0.5</v>
      </c>
      <c r="E156" s="2">
        <v>1</v>
      </c>
      <c r="F156" s="2">
        <v>0.5</v>
      </c>
      <c r="G156" s="2">
        <v>1</v>
      </c>
      <c r="H156" s="4"/>
      <c r="I156" s="4"/>
      <c r="J156" s="4"/>
      <c r="K156" s="4"/>
      <c r="L156" s="4"/>
    </row>
    <row r="157" spans="1:12" x14ac:dyDescent="0.15">
      <c r="A157" s="2" t="str">
        <f>HYPERLINK("./new_k5/query_cmdrels_weight_analyze/0.4_0.3_0.3/au_55868.xlsx","au_55868")</f>
        <v>au_55868</v>
      </c>
      <c r="B157" s="2">
        <v>0</v>
      </c>
      <c r="C157" s="2">
        <v>0</v>
      </c>
      <c r="D157" s="2">
        <v>5.5555555555555552E-2</v>
      </c>
      <c r="E157" s="2">
        <v>0.12962962962962959</v>
      </c>
      <c r="F157" s="2">
        <v>0.1111111111111111</v>
      </c>
      <c r="G157" s="2">
        <v>0.30185185185185193</v>
      </c>
      <c r="H157" s="4"/>
      <c r="I157" s="4"/>
      <c r="J157" s="4"/>
      <c r="K157" s="4"/>
      <c r="L157" s="4"/>
    </row>
    <row r="158" spans="1:12" x14ac:dyDescent="0.15">
      <c r="A158" s="2" t="str">
        <f>HYPERLINK("./new_k5/query_cmdrels_weight_analyze/0.4_0.3_0.3/au_561.xlsx","au_561")</f>
        <v>au_561</v>
      </c>
      <c r="B158" s="2">
        <v>0.25</v>
      </c>
      <c r="C158" s="2">
        <v>0.25</v>
      </c>
      <c r="D158" s="2">
        <v>0.25</v>
      </c>
      <c r="E158" s="2">
        <v>0.5</v>
      </c>
      <c r="F158" s="2">
        <v>0.25</v>
      </c>
      <c r="G158" s="2">
        <v>0.5</v>
      </c>
      <c r="H158" s="4"/>
      <c r="I158" s="4"/>
      <c r="J158" s="4"/>
      <c r="K158" s="4"/>
      <c r="L158" s="4"/>
    </row>
    <row r="159" spans="1:12" x14ac:dyDescent="0.15">
      <c r="A159" s="2" t="str">
        <f>HYPERLINK("./new_k5/query_cmdrels_weight_analyze/0.4_0.3_0.3/au_564567.xlsx","au_564567")</f>
        <v>au_564567</v>
      </c>
      <c r="B159" s="2">
        <v>1</v>
      </c>
      <c r="C159" s="2">
        <v>1</v>
      </c>
      <c r="D159" s="2">
        <v>1</v>
      </c>
      <c r="E159" s="2">
        <v>1</v>
      </c>
      <c r="F159" s="2">
        <v>1</v>
      </c>
      <c r="G159" s="2">
        <v>1</v>
      </c>
      <c r="H159" s="4"/>
      <c r="I159" s="4"/>
      <c r="J159" s="4"/>
      <c r="K159" s="4"/>
      <c r="L159" s="4"/>
    </row>
    <row r="160" spans="1:12" x14ac:dyDescent="0.15">
      <c r="A160" s="2" t="str">
        <f>HYPERLINK("./new_k5/query_cmdrels_weight_analyze/0.4_0.3_0.3/au_57994.xlsx","au_57994")</f>
        <v>au_57994</v>
      </c>
      <c r="B160" s="2">
        <v>0.14285714285714279</v>
      </c>
      <c r="C160" s="2">
        <v>0.14285714285714279</v>
      </c>
      <c r="D160" s="2">
        <v>0.42857142857142849</v>
      </c>
      <c r="E160" s="2">
        <v>0.42857142857142849</v>
      </c>
      <c r="F160" s="2">
        <v>0.5714285714285714</v>
      </c>
      <c r="G160" s="2">
        <v>0.5714285714285714</v>
      </c>
      <c r="H160" s="4"/>
      <c r="I160" s="4"/>
      <c r="J160" s="4"/>
      <c r="K160" s="4"/>
      <c r="L160" s="4"/>
    </row>
    <row r="161" spans="1:12" x14ac:dyDescent="0.15">
      <c r="A161" s="2" t="str">
        <f>HYPERLINK("./new_k5/query_cmdrels_weight_analyze/0.4_0.3_0.3/au_589210.xlsx","au_589210")</f>
        <v>au_589210</v>
      </c>
      <c r="B161" s="2">
        <v>0.25</v>
      </c>
      <c r="C161" s="2">
        <v>0.25</v>
      </c>
      <c r="D161" s="2">
        <v>0.5</v>
      </c>
      <c r="E161" s="2">
        <v>0.25</v>
      </c>
      <c r="F161" s="2">
        <v>0.5</v>
      </c>
      <c r="G161" s="2">
        <v>0.375</v>
      </c>
      <c r="H161" s="4"/>
      <c r="I161" s="4"/>
      <c r="J161" s="4"/>
      <c r="K161" s="4"/>
      <c r="L161" s="4"/>
    </row>
    <row r="162" spans="1:12" x14ac:dyDescent="0.15">
      <c r="A162" s="2" t="str">
        <f>HYPERLINK("./new_k5/query_cmdrels_weight_analyze/0.4_0.3_0.3/au_5911.xlsx","au_5911")</f>
        <v>au_5911</v>
      </c>
      <c r="B162" s="2">
        <v>1</v>
      </c>
      <c r="C162" s="2">
        <v>1</v>
      </c>
      <c r="D162" s="2">
        <v>1</v>
      </c>
      <c r="E162" s="2">
        <v>1</v>
      </c>
      <c r="F162" s="2">
        <v>1</v>
      </c>
      <c r="G162" s="2">
        <v>1</v>
      </c>
      <c r="H162" s="4"/>
      <c r="I162" s="4"/>
      <c r="J162" s="4"/>
      <c r="K162" s="4"/>
      <c r="L162" s="4"/>
    </row>
    <row r="163" spans="1:12" x14ac:dyDescent="0.15">
      <c r="A163" s="2" t="str">
        <f>HYPERLINK("./new_k5/query_cmdrels_weight_analyze/0.4_0.3_0.3/au_59356.xlsx","au_59356")</f>
        <v>au_59356</v>
      </c>
      <c r="B163" s="2">
        <v>0</v>
      </c>
      <c r="C163" s="2">
        <v>0</v>
      </c>
      <c r="D163" s="2">
        <v>0.16666666666666671</v>
      </c>
      <c r="E163" s="2">
        <v>0</v>
      </c>
      <c r="F163" s="2">
        <v>0.16666666666666671</v>
      </c>
      <c r="G163" s="2">
        <v>0</v>
      </c>
      <c r="H163" s="4"/>
      <c r="I163" s="4"/>
      <c r="J163" s="4"/>
      <c r="K163" s="4"/>
      <c r="L163" s="4"/>
    </row>
    <row r="164" spans="1:12" x14ac:dyDescent="0.15">
      <c r="A164" s="2" t="str">
        <f>HYPERLINK("./new_k5/query_cmdrels_weight_analyze/0.4_0.3_0.3/au_609850.xlsx","au_609850")</f>
        <v>au_609850</v>
      </c>
      <c r="B164" s="2">
        <v>0.5</v>
      </c>
      <c r="C164" s="2">
        <v>0</v>
      </c>
      <c r="D164" s="2">
        <v>0.5</v>
      </c>
      <c r="E164" s="2">
        <v>0.25</v>
      </c>
      <c r="F164" s="2">
        <v>0.5</v>
      </c>
      <c r="G164" s="2">
        <v>0.25</v>
      </c>
      <c r="H164" s="4"/>
      <c r="I164" s="4"/>
      <c r="J164" s="4"/>
      <c r="K164" s="4"/>
      <c r="L164" s="4"/>
    </row>
    <row r="165" spans="1:12" x14ac:dyDescent="0.15">
      <c r="A165" s="2" t="str">
        <f>HYPERLINK("./new_k5/query_cmdrels_weight_analyze/0.4_0.3_0.3/au_61408.xlsx","au_61408")</f>
        <v>au_61408</v>
      </c>
      <c r="B165" s="2">
        <v>0</v>
      </c>
      <c r="C165" s="2">
        <v>0.33333333333333331</v>
      </c>
      <c r="D165" s="2">
        <v>0.16666666666666671</v>
      </c>
      <c r="E165" s="2">
        <v>0.55555555555555547</v>
      </c>
      <c r="F165" s="2">
        <v>0.16666666666666671</v>
      </c>
      <c r="G165" s="2">
        <v>0.55555555555555547</v>
      </c>
      <c r="H165" s="4"/>
      <c r="I165" s="4"/>
      <c r="J165" s="4"/>
      <c r="K165" s="4"/>
      <c r="L165" s="4"/>
    </row>
    <row r="166" spans="1:12" x14ac:dyDescent="0.15">
      <c r="A166" s="2" t="str">
        <f>HYPERLINK("./new_k5/query_cmdrels_weight_analyze/0.4_0.3_0.3/au_617850.xlsx","au_617850")</f>
        <v>au_617850</v>
      </c>
      <c r="B166" s="2">
        <v>0.33333333333333331</v>
      </c>
      <c r="C166" s="2">
        <v>0.33333333333333331</v>
      </c>
      <c r="D166" s="2">
        <v>0.66666666666666663</v>
      </c>
      <c r="E166" s="2">
        <v>0.66666666666666663</v>
      </c>
      <c r="F166" s="2">
        <v>0.91666666666666663</v>
      </c>
      <c r="G166" s="2">
        <v>0.91666666666666663</v>
      </c>
      <c r="H166" s="4"/>
      <c r="I166" s="4"/>
      <c r="J166" s="4"/>
      <c r="K166" s="4"/>
      <c r="L166" s="4"/>
    </row>
    <row r="167" spans="1:12" x14ac:dyDescent="0.15">
      <c r="A167" s="2" t="str">
        <f>HYPERLINK("./new_k5/query_cmdrels_weight_analyze/0.4_0.3_0.3/au_62073.xlsx","au_62073")</f>
        <v>au_62073</v>
      </c>
      <c r="B167" s="2">
        <v>0</v>
      </c>
      <c r="C167" s="2">
        <v>0.2</v>
      </c>
      <c r="D167" s="2">
        <v>0.23333333333333331</v>
      </c>
      <c r="E167" s="2">
        <v>0.4</v>
      </c>
      <c r="F167" s="2">
        <v>0.23333333333333331</v>
      </c>
      <c r="G167" s="2">
        <v>0.71</v>
      </c>
      <c r="H167" s="4"/>
      <c r="I167" s="4"/>
      <c r="J167" s="4"/>
      <c r="K167" s="4"/>
      <c r="L167" s="4"/>
    </row>
    <row r="168" spans="1:12" x14ac:dyDescent="0.15">
      <c r="A168" s="2" t="str">
        <f>HYPERLINK("./new_k5/query_cmdrels_weight_analyze/0.4_0.3_0.3/au_620930.xlsx","au_620930")</f>
        <v>au_620930</v>
      </c>
      <c r="B168" s="2">
        <v>0.2</v>
      </c>
      <c r="C168" s="2">
        <v>0.2</v>
      </c>
      <c r="D168" s="2">
        <v>0.4</v>
      </c>
      <c r="E168" s="2">
        <v>0.33333333333333331</v>
      </c>
      <c r="F168" s="2">
        <v>0.4</v>
      </c>
      <c r="G168" s="2">
        <v>0.48333333333333328</v>
      </c>
      <c r="H168" s="4"/>
      <c r="I168" s="4"/>
      <c r="J168" s="4"/>
      <c r="K168" s="4"/>
      <c r="L168" s="4"/>
    </row>
    <row r="169" spans="1:12" x14ac:dyDescent="0.15">
      <c r="A169" s="2" t="str">
        <f>HYPERLINK("./new_k5/query_cmdrels_weight_analyze/0.4_0.3_0.3/au_62492.xlsx","au_62492")</f>
        <v>au_62492</v>
      </c>
      <c r="B169" s="2">
        <v>0.2</v>
      </c>
      <c r="C169" s="2">
        <v>0.2</v>
      </c>
      <c r="D169" s="2">
        <v>0.33333333333333331</v>
      </c>
      <c r="E169" s="2">
        <v>0.4</v>
      </c>
      <c r="F169" s="2">
        <v>0.48333333333333328</v>
      </c>
      <c r="G169" s="2">
        <v>0.71</v>
      </c>
      <c r="H169" s="4"/>
      <c r="I169" s="4"/>
      <c r="J169" s="4"/>
      <c r="K169" s="4"/>
      <c r="L169" s="4"/>
    </row>
    <row r="170" spans="1:12" x14ac:dyDescent="0.15">
      <c r="A170" s="2" t="str">
        <f>HYPERLINK("./new_k5/query_cmdrels_weight_analyze/0.4_0.3_0.3/au_626078.xlsx","au_626078")</f>
        <v>au_626078</v>
      </c>
      <c r="B170" s="2">
        <v>0.33333333333333331</v>
      </c>
      <c r="C170" s="2">
        <v>0</v>
      </c>
      <c r="D170" s="2">
        <v>0.66666666666666663</v>
      </c>
      <c r="E170" s="2">
        <v>0</v>
      </c>
      <c r="F170" s="2">
        <v>0.66666666666666663</v>
      </c>
      <c r="G170" s="2">
        <v>0</v>
      </c>
      <c r="H170" s="4"/>
      <c r="I170" s="4"/>
      <c r="J170" s="4"/>
      <c r="K170" s="4"/>
      <c r="L170" s="4"/>
    </row>
    <row r="171" spans="1:12" x14ac:dyDescent="0.15">
      <c r="A171" s="2" t="str">
        <f>HYPERLINK("./new_k5/query_cmdrels_weight_analyze/0.4_0.3_0.3/au_636944.xlsx","au_636944")</f>
        <v>au_636944</v>
      </c>
      <c r="B171" s="2">
        <v>0.33333333333333331</v>
      </c>
      <c r="C171" s="2">
        <v>0</v>
      </c>
      <c r="D171" s="2">
        <v>0.33333333333333331</v>
      </c>
      <c r="E171" s="2">
        <v>0.16666666666666671</v>
      </c>
      <c r="F171" s="2">
        <v>0.46666666666666662</v>
      </c>
      <c r="G171" s="2">
        <v>0.16666666666666671</v>
      </c>
      <c r="H171" s="4"/>
      <c r="I171" s="4"/>
      <c r="J171" s="4"/>
      <c r="K171" s="4"/>
      <c r="L171" s="4"/>
    </row>
    <row r="172" spans="1:12" x14ac:dyDescent="0.15">
      <c r="A172" s="2" t="str">
        <f>HYPERLINK("./new_k5/query_cmdrels_weight_analyze/0.4_0.3_0.3/au_648603.xlsx","au_648603")</f>
        <v>au_648603</v>
      </c>
      <c r="B172" s="2">
        <v>0.25</v>
      </c>
      <c r="C172" s="2">
        <v>0.25</v>
      </c>
      <c r="D172" s="2">
        <v>0.25</v>
      </c>
      <c r="E172" s="2">
        <v>0.25</v>
      </c>
      <c r="F172" s="2">
        <v>0.25</v>
      </c>
      <c r="G172" s="2">
        <v>0.52500000000000002</v>
      </c>
      <c r="H172" s="4"/>
      <c r="I172" s="4"/>
      <c r="J172" s="4"/>
      <c r="K172" s="4"/>
      <c r="L172" s="4"/>
    </row>
    <row r="173" spans="1:12" x14ac:dyDescent="0.15">
      <c r="A173" s="2" t="str">
        <f>HYPERLINK("./new_k5/query_cmdrels_weight_analyze/0.4_0.3_0.3/au_65331.xlsx","au_65331")</f>
        <v>au_65331</v>
      </c>
      <c r="B173" s="2">
        <v>0</v>
      </c>
      <c r="C173" s="2">
        <v>0.16666666666666671</v>
      </c>
      <c r="D173" s="2">
        <v>8.3333333333333329E-2</v>
      </c>
      <c r="E173" s="2">
        <v>0.27777777777777768</v>
      </c>
      <c r="F173" s="2">
        <v>0.16666666666666671</v>
      </c>
      <c r="G173" s="2">
        <v>0.37777777777777782</v>
      </c>
      <c r="H173" s="4"/>
      <c r="I173" s="4"/>
      <c r="J173" s="4"/>
      <c r="K173" s="4"/>
      <c r="L173" s="4"/>
    </row>
    <row r="174" spans="1:12" x14ac:dyDescent="0.15">
      <c r="A174" s="2" t="str">
        <f>HYPERLINK("./new_k5/query_cmdrels_weight_analyze/0.4_0.3_0.3/au_66000.xlsx","au_66000")</f>
        <v>au_66000</v>
      </c>
      <c r="B174" s="2">
        <v>0</v>
      </c>
      <c r="C174" s="2">
        <v>0.2</v>
      </c>
      <c r="D174" s="2">
        <v>0</v>
      </c>
      <c r="E174" s="2">
        <v>0.33333333333333331</v>
      </c>
      <c r="F174" s="2">
        <v>0</v>
      </c>
      <c r="G174" s="2">
        <v>0.64333333333333331</v>
      </c>
      <c r="H174" s="4"/>
      <c r="I174" s="4"/>
      <c r="J174" s="4"/>
      <c r="K174" s="4"/>
      <c r="L174" s="4"/>
    </row>
    <row r="175" spans="1:12" x14ac:dyDescent="0.15">
      <c r="A175" s="2" t="str">
        <f>HYPERLINK("./new_k5/query_cmdrels_weight_analyze/0.4_0.3_0.3/au_660846.xlsx","au_660846")</f>
        <v>au_660846</v>
      </c>
      <c r="B175" s="2">
        <v>0.25</v>
      </c>
      <c r="C175" s="2">
        <v>0.25</v>
      </c>
      <c r="D175" s="2">
        <v>0.5</v>
      </c>
      <c r="E175" s="2">
        <v>0.75</v>
      </c>
      <c r="F175" s="2">
        <v>0.65</v>
      </c>
      <c r="G175" s="2">
        <v>1</v>
      </c>
      <c r="H175" s="4"/>
      <c r="I175" s="4"/>
      <c r="J175" s="4"/>
      <c r="K175" s="4"/>
      <c r="L175" s="4"/>
    </row>
    <row r="176" spans="1:12" x14ac:dyDescent="0.15">
      <c r="A176" s="2" t="str">
        <f>HYPERLINK("./new_k5/query_cmdrels_weight_analyze/0.4_0.3_0.3/au_662935.xlsx","au_662935")</f>
        <v>au_662935</v>
      </c>
      <c r="B176" s="2">
        <v>0.125</v>
      </c>
      <c r="C176" s="2">
        <v>0.125</v>
      </c>
      <c r="D176" s="2">
        <v>0.125</v>
      </c>
      <c r="E176" s="2">
        <v>0.375</v>
      </c>
      <c r="F176" s="2">
        <v>0.125</v>
      </c>
      <c r="G176" s="2">
        <v>0.375</v>
      </c>
      <c r="H176" s="4"/>
      <c r="I176" s="4"/>
      <c r="J176" s="4"/>
      <c r="K176" s="4"/>
      <c r="L176" s="4"/>
    </row>
    <row r="177" spans="1:12" x14ac:dyDescent="0.15">
      <c r="A177" s="2" t="str">
        <f>HYPERLINK("./new_k5/query_cmdrels_weight_analyze/0.4_0.3_0.3/au_67663.xlsx","au_67663")</f>
        <v>au_67663</v>
      </c>
      <c r="B177" s="2">
        <v>0</v>
      </c>
      <c r="C177" s="2">
        <v>0.25</v>
      </c>
      <c r="D177" s="2">
        <v>0.29166666666666657</v>
      </c>
      <c r="E177" s="2">
        <v>0.75</v>
      </c>
      <c r="F177" s="2">
        <v>0.29166666666666657</v>
      </c>
      <c r="G177" s="2">
        <v>0.75</v>
      </c>
      <c r="H177" s="4"/>
      <c r="I177" s="4"/>
      <c r="J177" s="4"/>
      <c r="K177" s="4"/>
      <c r="L177" s="4"/>
    </row>
    <row r="178" spans="1:12" x14ac:dyDescent="0.15">
      <c r="A178" s="2" t="str">
        <f>HYPERLINK("./new_k5/query_cmdrels_weight_analyze/0.4_0.3_0.3/au_68028.xlsx","au_68028")</f>
        <v>au_68028</v>
      </c>
      <c r="B178" s="2">
        <v>0.14285714285714279</v>
      </c>
      <c r="C178" s="2">
        <v>0.14285714285714279</v>
      </c>
      <c r="D178" s="2">
        <v>0.2857142857142857</v>
      </c>
      <c r="E178" s="2">
        <v>0.2857142857142857</v>
      </c>
      <c r="F178" s="2">
        <v>0.37142857142857139</v>
      </c>
      <c r="G178" s="2">
        <v>0.39285714285714279</v>
      </c>
      <c r="H178" s="4"/>
      <c r="I178" s="4"/>
      <c r="J178" s="4"/>
      <c r="K178" s="4"/>
      <c r="L178" s="4"/>
    </row>
    <row r="179" spans="1:12" x14ac:dyDescent="0.15">
      <c r="A179" s="2" t="str">
        <f>HYPERLINK("./new_k5/query_cmdrels_weight_analyze/0.4_0.3_0.3/au_681312.xlsx","au_681312")</f>
        <v>au_681312</v>
      </c>
      <c r="B179" s="2">
        <v>0.14285714285714279</v>
      </c>
      <c r="C179" s="2">
        <v>0.14285714285714279</v>
      </c>
      <c r="D179" s="2">
        <v>0.42857142857142849</v>
      </c>
      <c r="E179" s="2">
        <v>0.42857142857142849</v>
      </c>
      <c r="F179" s="2">
        <v>0.42857142857142849</v>
      </c>
      <c r="G179" s="2">
        <v>0.54285714285714282</v>
      </c>
      <c r="H179" s="4"/>
      <c r="I179" s="4"/>
      <c r="J179" s="4"/>
      <c r="K179" s="4"/>
      <c r="L179" s="4"/>
    </row>
    <row r="180" spans="1:12" x14ac:dyDescent="0.15">
      <c r="A180" s="2" t="str">
        <f>HYPERLINK("./new_k5/query_cmdrels_weight_analyze/0.4_0.3_0.3/au_686239.xlsx","au_686239")</f>
        <v>au_686239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0.2</v>
      </c>
      <c r="H180" s="4"/>
      <c r="I180" s="4"/>
      <c r="J180" s="4"/>
      <c r="K180" s="4"/>
      <c r="L180" s="4"/>
    </row>
    <row r="181" spans="1:12" x14ac:dyDescent="0.15">
      <c r="A181" s="2" t="str">
        <f>HYPERLINK("./new_k5/query_cmdrels_weight_analyze/0.4_0.3_0.3/au_68809.xlsx","au_68809")</f>
        <v>au_68809</v>
      </c>
      <c r="B181" s="2">
        <v>0.125</v>
      </c>
      <c r="C181" s="2">
        <v>0.125</v>
      </c>
      <c r="D181" s="2">
        <v>0.20833333333333329</v>
      </c>
      <c r="E181" s="2">
        <v>0.125</v>
      </c>
      <c r="F181" s="2">
        <v>0.28333333333333333</v>
      </c>
      <c r="G181" s="2">
        <v>0.1875</v>
      </c>
      <c r="H181" s="4"/>
      <c r="I181" s="4"/>
      <c r="J181" s="4"/>
      <c r="K181" s="4"/>
      <c r="L181" s="4"/>
    </row>
    <row r="182" spans="1:12" x14ac:dyDescent="0.15">
      <c r="A182" s="2" t="str">
        <f>HYPERLINK("./new_k5/query_cmdrels_weight_analyze/0.4_0.3_0.3/au_69556.xlsx","au_69556")</f>
        <v>au_69556</v>
      </c>
      <c r="B182" s="2">
        <v>0.5</v>
      </c>
      <c r="C182" s="2">
        <v>0</v>
      </c>
      <c r="D182" s="2">
        <v>0.5</v>
      </c>
      <c r="E182" s="2">
        <v>0</v>
      </c>
      <c r="F182" s="2">
        <v>0.5</v>
      </c>
      <c r="G182" s="2">
        <v>0</v>
      </c>
      <c r="H182" s="4"/>
      <c r="I182" s="4"/>
      <c r="J182" s="4"/>
      <c r="K182" s="4"/>
      <c r="L182" s="4"/>
    </row>
    <row r="183" spans="1:12" x14ac:dyDescent="0.15">
      <c r="A183" s="2" t="str">
        <f>HYPERLINK("./new_k5/query_cmdrels_weight_analyze/0.4_0.3_0.3/au_698993.xlsx","au_698993")</f>
        <v>au_698993</v>
      </c>
      <c r="B183" s="2">
        <v>0.16666666666666671</v>
      </c>
      <c r="C183" s="2">
        <v>0.16666666666666671</v>
      </c>
      <c r="D183" s="2">
        <v>0.5</v>
      </c>
      <c r="E183" s="2">
        <v>0.5</v>
      </c>
      <c r="F183" s="2">
        <v>0.5</v>
      </c>
      <c r="G183" s="2">
        <v>0.6333333333333333</v>
      </c>
      <c r="H183" s="4"/>
      <c r="I183" s="4"/>
      <c r="J183" s="4"/>
      <c r="K183" s="4"/>
      <c r="L183" s="4"/>
    </row>
    <row r="184" spans="1:12" x14ac:dyDescent="0.15">
      <c r="A184" s="2" t="str">
        <f>HYPERLINK("./new_k5/query_cmdrels_weight_analyze/0.4_0.3_0.3/au_707881.xlsx","au_707881")</f>
        <v>au_707881</v>
      </c>
      <c r="B184" s="2">
        <v>0.16666666666666671</v>
      </c>
      <c r="C184" s="2">
        <v>0.16666666666666671</v>
      </c>
      <c r="D184" s="2">
        <v>0.16666666666666671</v>
      </c>
      <c r="E184" s="2">
        <v>0.16666666666666671</v>
      </c>
      <c r="F184" s="2">
        <v>0.35</v>
      </c>
      <c r="G184" s="2">
        <v>0.23333333333333331</v>
      </c>
      <c r="H184" s="4"/>
      <c r="I184" s="4"/>
      <c r="J184" s="4"/>
      <c r="K184" s="4"/>
      <c r="L184" s="4"/>
    </row>
    <row r="185" spans="1:12" x14ac:dyDescent="0.15">
      <c r="A185" s="2" t="str">
        <f>HYPERLINK("./new_k5/query_cmdrels_weight_analyze/0.4_0.3_0.3/au_709594.xlsx","au_709594")</f>
        <v>au_709594</v>
      </c>
      <c r="B185" s="2">
        <v>0.33333333333333331</v>
      </c>
      <c r="C185" s="2">
        <v>0</v>
      </c>
      <c r="D185" s="2">
        <v>0.66666666666666663</v>
      </c>
      <c r="E185" s="2">
        <v>0</v>
      </c>
      <c r="F185" s="2">
        <v>0.91666666666666663</v>
      </c>
      <c r="G185" s="2">
        <v>0</v>
      </c>
      <c r="H185" s="4"/>
      <c r="I185" s="4"/>
      <c r="J185" s="4"/>
      <c r="K185" s="4"/>
      <c r="L185" s="4"/>
    </row>
    <row r="186" spans="1:12" x14ac:dyDescent="0.15">
      <c r="A186" s="2" t="str">
        <f>HYPERLINK("./new_k5/query_cmdrels_weight_analyze/0.4_0.3_0.3/au_71309.xlsx","au_71309")</f>
        <v>au_71309</v>
      </c>
      <c r="B186" s="2">
        <v>0.125</v>
      </c>
      <c r="C186" s="2">
        <v>0.125</v>
      </c>
      <c r="D186" s="2">
        <v>0.20833333333333329</v>
      </c>
      <c r="E186" s="2">
        <v>0.20833333333333329</v>
      </c>
      <c r="F186" s="2">
        <v>0.20833333333333329</v>
      </c>
      <c r="G186" s="2">
        <v>0.30208333333333331</v>
      </c>
      <c r="H186" s="4"/>
      <c r="I186" s="4"/>
      <c r="J186" s="4"/>
      <c r="K186" s="4"/>
      <c r="L186" s="4"/>
    </row>
    <row r="187" spans="1:12" x14ac:dyDescent="0.15">
      <c r="A187" s="2" t="str">
        <f>HYPERLINK("./new_k5/query_cmdrels_weight_analyze/0.4_0.3_0.3/au_7138.xlsx","au_7138")</f>
        <v>au_7138</v>
      </c>
      <c r="B187" s="2">
        <v>0.25</v>
      </c>
      <c r="C187" s="2">
        <v>0</v>
      </c>
      <c r="D187" s="2">
        <v>0.75</v>
      </c>
      <c r="E187" s="2">
        <v>8.3333333333333329E-2</v>
      </c>
      <c r="F187" s="2">
        <v>0.75</v>
      </c>
      <c r="G187" s="2">
        <v>8.3333333333333329E-2</v>
      </c>
      <c r="H187" s="4"/>
      <c r="I187" s="4"/>
      <c r="J187" s="4"/>
      <c r="K187" s="4"/>
      <c r="L187" s="4"/>
    </row>
    <row r="188" spans="1:12" x14ac:dyDescent="0.15">
      <c r="A188" s="2" t="str">
        <f>HYPERLINK("./new_k5/query_cmdrels_weight_analyze/0.4_0.3_0.3/au_72549.xlsx","au_72549")</f>
        <v>au_72549</v>
      </c>
      <c r="B188" s="2">
        <v>0</v>
      </c>
      <c r="C188" s="2">
        <v>0</v>
      </c>
      <c r="D188" s="2">
        <v>0</v>
      </c>
      <c r="E188" s="2">
        <v>8.3333333333333329E-2</v>
      </c>
      <c r="F188" s="2">
        <v>0</v>
      </c>
      <c r="G188" s="2">
        <v>8.3333333333333329E-2</v>
      </c>
      <c r="H188" s="4"/>
      <c r="I188" s="4"/>
      <c r="J188" s="4"/>
      <c r="K188" s="4"/>
      <c r="L188" s="4"/>
    </row>
    <row r="189" spans="1:12" x14ac:dyDescent="0.15">
      <c r="A189" s="2" t="str">
        <f>HYPERLINK("./new_k5/query_cmdrels_weight_analyze/0.4_0.3_0.3/au_740805.xlsx","au_740805")</f>
        <v>au_740805</v>
      </c>
      <c r="B189" s="2">
        <v>0.25</v>
      </c>
      <c r="C189" s="2">
        <v>0</v>
      </c>
      <c r="D189" s="2">
        <v>0.41666666666666657</v>
      </c>
      <c r="E189" s="2">
        <v>0.125</v>
      </c>
      <c r="F189" s="2">
        <v>0.41666666666666657</v>
      </c>
      <c r="G189" s="2">
        <v>0.22500000000000001</v>
      </c>
      <c r="H189" s="4"/>
      <c r="I189" s="4"/>
      <c r="J189" s="4"/>
      <c r="K189" s="4"/>
      <c r="L189" s="4"/>
    </row>
    <row r="190" spans="1:12" x14ac:dyDescent="0.15">
      <c r="A190" s="2" t="str">
        <f>HYPERLINK("./new_k5/query_cmdrels_weight_analyze/0.4_0.3_0.3/au_760796.xlsx","au_760796")</f>
        <v>au_760796</v>
      </c>
      <c r="B190" s="2">
        <v>0.1</v>
      </c>
      <c r="C190" s="2">
        <v>0.1</v>
      </c>
      <c r="D190" s="2">
        <v>0.3</v>
      </c>
      <c r="E190" s="2">
        <v>0.3</v>
      </c>
      <c r="F190" s="2">
        <v>0.38</v>
      </c>
      <c r="G190" s="2">
        <v>0.5</v>
      </c>
      <c r="H190" s="4"/>
      <c r="I190" s="4"/>
      <c r="J190" s="4"/>
      <c r="K190" s="4"/>
      <c r="L190" s="4"/>
    </row>
    <row r="191" spans="1:12" x14ac:dyDescent="0.15">
      <c r="A191" s="2" t="str">
        <f>HYPERLINK("./new_k5/query_cmdrels_weight_analyze/0.4_0.3_0.3/au_762846.xlsx","au_762846")</f>
        <v>au_762846</v>
      </c>
      <c r="B191" s="2">
        <v>0.16666666666666671</v>
      </c>
      <c r="C191" s="2">
        <v>0.16666666666666671</v>
      </c>
      <c r="D191" s="2">
        <v>0.5</v>
      </c>
      <c r="E191" s="2">
        <v>0.33333333333333331</v>
      </c>
      <c r="F191" s="2">
        <v>0.6333333333333333</v>
      </c>
      <c r="G191" s="2">
        <v>0.43333333333333329</v>
      </c>
      <c r="H191" s="4"/>
      <c r="I191" s="4"/>
      <c r="J191" s="4"/>
      <c r="K191" s="4"/>
      <c r="L191" s="4"/>
    </row>
    <row r="192" spans="1:12" x14ac:dyDescent="0.15">
      <c r="A192" s="2" t="str">
        <f>HYPERLINK("./new_k5/query_cmdrels_weight_analyze/0.4_0.3_0.3/au_767786.xlsx","au_767786")</f>
        <v>au_767786</v>
      </c>
      <c r="B192" s="2">
        <v>0.2</v>
      </c>
      <c r="C192" s="2">
        <v>0.2</v>
      </c>
      <c r="D192" s="2">
        <v>0.4</v>
      </c>
      <c r="E192" s="2">
        <v>0.6</v>
      </c>
      <c r="F192" s="2">
        <v>0.4</v>
      </c>
      <c r="G192" s="2">
        <v>0.8</v>
      </c>
      <c r="H192" s="4"/>
      <c r="I192" s="4"/>
      <c r="J192" s="4"/>
      <c r="K192" s="4"/>
      <c r="L192" s="4"/>
    </row>
    <row r="193" spans="1:12" x14ac:dyDescent="0.15">
      <c r="A193" s="2" t="str">
        <f>HYPERLINK("./new_k5/query_cmdrels_weight_analyze/0.4_0.3_0.3/au_778906.xlsx","au_778906")</f>
        <v>au_778906</v>
      </c>
      <c r="B193" s="2">
        <v>0.2</v>
      </c>
      <c r="C193" s="2">
        <v>0.2</v>
      </c>
      <c r="D193" s="2">
        <v>0.33333333333333331</v>
      </c>
      <c r="E193" s="2">
        <v>0.6</v>
      </c>
      <c r="F193" s="2">
        <v>0.33333333333333331</v>
      </c>
      <c r="G193" s="2">
        <v>0.6</v>
      </c>
      <c r="H193" s="4"/>
      <c r="I193" s="4"/>
      <c r="J193" s="4"/>
      <c r="K193" s="4"/>
      <c r="L193" s="4"/>
    </row>
    <row r="194" spans="1:12" x14ac:dyDescent="0.15">
      <c r="A194" s="2" t="str">
        <f>HYPERLINK("./new_k5/query_cmdrels_weight_analyze/0.4_0.3_0.3/au_818929.xlsx","au_818929")</f>
        <v>au_818929</v>
      </c>
      <c r="B194" s="2">
        <v>0</v>
      </c>
      <c r="C194" s="2">
        <v>0.2</v>
      </c>
      <c r="D194" s="2">
        <v>0</v>
      </c>
      <c r="E194" s="2">
        <v>0.2</v>
      </c>
      <c r="F194" s="2">
        <v>0</v>
      </c>
      <c r="G194" s="2">
        <v>0.42</v>
      </c>
      <c r="H194" s="4"/>
      <c r="I194" s="4"/>
      <c r="J194" s="4"/>
      <c r="K194" s="4"/>
      <c r="L194" s="4"/>
    </row>
    <row r="195" spans="1:12" x14ac:dyDescent="0.15">
      <c r="A195" s="2" t="str">
        <f>HYPERLINK("./new_k5/query_cmdrels_weight_analyze/0.4_0.3_0.3/au_844876.xlsx","au_844876")</f>
        <v>au_844876</v>
      </c>
      <c r="B195" s="2">
        <v>0.5</v>
      </c>
      <c r="C195" s="2">
        <v>0.5</v>
      </c>
      <c r="D195" s="2">
        <v>0.5</v>
      </c>
      <c r="E195" s="2">
        <v>1</v>
      </c>
      <c r="F195" s="2">
        <v>0.5</v>
      </c>
      <c r="G195" s="2">
        <v>1</v>
      </c>
      <c r="H195" s="4"/>
      <c r="I195" s="4"/>
      <c r="J195" s="4"/>
      <c r="K195" s="4"/>
      <c r="L195" s="4"/>
    </row>
    <row r="196" spans="1:12" x14ac:dyDescent="0.15">
      <c r="A196" s="2" t="str">
        <f>HYPERLINK("./new_k5/query_cmdrels_weight_analyze/0.4_0.3_0.3/au_85318.xlsx","au_85318")</f>
        <v>au_85318</v>
      </c>
      <c r="B196" s="2">
        <v>0.2</v>
      </c>
      <c r="C196" s="2">
        <v>0.2</v>
      </c>
      <c r="D196" s="2">
        <v>0.6</v>
      </c>
      <c r="E196" s="2">
        <v>0.4</v>
      </c>
      <c r="F196" s="2">
        <v>0.6</v>
      </c>
      <c r="G196" s="2">
        <v>0.4</v>
      </c>
      <c r="H196" s="4"/>
      <c r="I196" s="4"/>
      <c r="J196" s="4"/>
      <c r="K196" s="4"/>
      <c r="L196" s="4"/>
    </row>
    <row r="197" spans="1:12" x14ac:dyDescent="0.15">
      <c r="A197" s="2" t="str">
        <f>HYPERLINK("./new_k5/query_cmdrels_weight_analyze/0.4_0.3_0.3/au_854332.xlsx","au_854332")</f>
        <v>au_854332</v>
      </c>
      <c r="B197" s="2">
        <v>0.33333333333333331</v>
      </c>
      <c r="C197" s="2">
        <v>0.33333333333333331</v>
      </c>
      <c r="D197" s="2">
        <v>0.55555555555555547</v>
      </c>
      <c r="E197" s="2">
        <v>0.33333333333333331</v>
      </c>
      <c r="F197" s="2">
        <v>0.55555555555555547</v>
      </c>
      <c r="G197" s="2">
        <v>0.33333333333333331</v>
      </c>
      <c r="H197" s="4"/>
      <c r="I197" s="4"/>
      <c r="J197" s="4"/>
      <c r="K197" s="4"/>
      <c r="L197" s="4"/>
    </row>
    <row r="198" spans="1:12" x14ac:dyDescent="0.15">
      <c r="A198" s="2" t="str">
        <f>HYPERLINK("./new_k5/query_cmdrels_weight_analyze/0.4_0.3_0.3/au_854373.xlsx","au_854373")</f>
        <v>au_854373</v>
      </c>
      <c r="B198" s="2">
        <v>0.33333333333333331</v>
      </c>
      <c r="C198" s="2">
        <v>0</v>
      </c>
      <c r="D198" s="2">
        <v>0.55555555555555547</v>
      </c>
      <c r="E198" s="2">
        <v>0.16666666666666671</v>
      </c>
      <c r="F198" s="2">
        <v>0.80555555555555547</v>
      </c>
      <c r="G198" s="2">
        <v>0.33333333333333331</v>
      </c>
      <c r="H198" s="4"/>
      <c r="I198" s="4"/>
      <c r="J198" s="4"/>
      <c r="K198" s="4"/>
      <c r="L198" s="4"/>
    </row>
    <row r="199" spans="1:12" x14ac:dyDescent="0.15">
      <c r="A199" s="2" t="str">
        <f>HYPERLINK("./new_k5/query_cmdrels_weight_analyze/0.4_0.3_0.3/au_86843.xlsx","au_86843")</f>
        <v>au_86843</v>
      </c>
      <c r="B199" s="2">
        <v>0</v>
      </c>
      <c r="C199" s="2">
        <v>0</v>
      </c>
      <c r="D199" s="2">
        <v>0</v>
      </c>
      <c r="E199" s="2">
        <v>0</v>
      </c>
      <c r="F199" s="2">
        <v>0.04</v>
      </c>
      <c r="G199" s="2">
        <v>0</v>
      </c>
      <c r="H199" s="4"/>
      <c r="I199" s="4"/>
      <c r="J199" s="4"/>
      <c r="K199" s="4"/>
      <c r="L199" s="4"/>
    </row>
    <row r="200" spans="1:12" x14ac:dyDescent="0.15">
      <c r="A200" s="2" t="str">
        <f>HYPERLINK("./new_k5/query_cmdrels_weight_analyze/0.4_0.3_0.3/au_88108.xlsx","au_88108")</f>
        <v>au_88108</v>
      </c>
      <c r="B200" s="2">
        <v>0</v>
      </c>
      <c r="C200" s="2">
        <v>0</v>
      </c>
      <c r="D200" s="2">
        <v>0.1</v>
      </c>
      <c r="E200" s="2">
        <v>0</v>
      </c>
      <c r="F200" s="2">
        <v>0.1</v>
      </c>
      <c r="G200" s="2">
        <v>0.04</v>
      </c>
      <c r="H200" s="4"/>
      <c r="I200" s="4"/>
      <c r="J200" s="4"/>
      <c r="K200" s="4"/>
      <c r="L200" s="4"/>
    </row>
    <row r="201" spans="1:12" x14ac:dyDescent="0.15">
      <c r="A201" s="2" t="str">
        <f>HYPERLINK("./new_k5/query_cmdrels_weight_analyze/0.4_0.3_0.3/au_90214.xlsx","au_90214")</f>
        <v>au_90214</v>
      </c>
      <c r="B201" s="2">
        <v>0</v>
      </c>
      <c r="C201" s="2">
        <v>0</v>
      </c>
      <c r="D201" s="2">
        <v>0.16666666666666671</v>
      </c>
      <c r="E201" s="2">
        <v>0.1111111111111111</v>
      </c>
      <c r="F201" s="2">
        <v>0.16666666666666671</v>
      </c>
      <c r="G201" s="2">
        <v>0.24444444444444449</v>
      </c>
      <c r="H201" s="4"/>
      <c r="I201" s="4"/>
      <c r="J201" s="4"/>
      <c r="K201" s="4"/>
      <c r="L201" s="4"/>
    </row>
    <row r="202" spans="1:12" x14ac:dyDescent="0.15">
      <c r="A202" s="2" t="str">
        <f>HYPERLINK("./new_k5/query_cmdrels_weight_analyze/0.4_0.3_0.3/au_90339.xlsx","au_90339")</f>
        <v>au_90339</v>
      </c>
      <c r="B202" s="2">
        <v>0</v>
      </c>
      <c r="C202" s="2">
        <v>0</v>
      </c>
      <c r="D202" s="2">
        <v>4.7619047619047623E-2</v>
      </c>
      <c r="E202" s="2">
        <v>0.16666666666666671</v>
      </c>
      <c r="F202" s="2">
        <v>0.2047619047619047</v>
      </c>
      <c r="G202" s="2">
        <v>0.16666666666666671</v>
      </c>
      <c r="H202" s="4"/>
      <c r="I202" s="4"/>
      <c r="J202" s="4"/>
      <c r="K202" s="4"/>
      <c r="L202" s="4"/>
    </row>
    <row r="203" spans="1:12" x14ac:dyDescent="0.15">
      <c r="A203" s="2" t="str">
        <f>HYPERLINK("./new_k5/query_cmdrels_weight_analyze/0.4_0.3_0.3/au_91286.xlsx","au_91286")</f>
        <v>au_91286</v>
      </c>
      <c r="B203" s="2">
        <v>0.5</v>
      </c>
      <c r="C203" s="2">
        <v>0</v>
      </c>
      <c r="D203" s="2">
        <v>0.5</v>
      </c>
      <c r="E203" s="2">
        <v>0.16666666666666671</v>
      </c>
      <c r="F203" s="2">
        <v>0.5</v>
      </c>
      <c r="G203" s="2">
        <v>0.16666666666666671</v>
      </c>
      <c r="H203" s="4"/>
      <c r="I203" s="4"/>
      <c r="J203" s="4"/>
      <c r="K203" s="4"/>
      <c r="L203" s="4"/>
    </row>
    <row r="204" spans="1:12" x14ac:dyDescent="0.15">
      <c r="A204" s="2" t="str">
        <f>HYPERLINK("./new_k5/query_cmdrels_weight_analyze/0.4_0.3_0.3/au_9135.xlsx","au_9135")</f>
        <v>au_9135</v>
      </c>
      <c r="B204" s="2">
        <v>0.1</v>
      </c>
      <c r="C204" s="2">
        <v>0</v>
      </c>
      <c r="D204" s="2">
        <v>0.16666666666666671</v>
      </c>
      <c r="E204" s="2">
        <v>0.1166666666666667</v>
      </c>
      <c r="F204" s="2">
        <v>0.24166666666666661</v>
      </c>
      <c r="G204" s="2">
        <v>0.19166666666666671</v>
      </c>
      <c r="H204" s="4"/>
      <c r="I204" s="4"/>
      <c r="J204" s="4"/>
      <c r="K204" s="4"/>
      <c r="L204" s="4"/>
    </row>
    <row r="205" spans="1:12" x14ac:dyDescent="0.15">
      <c r="A205" s="2" t="str">
        <f>HYPERLINK("./new_k5/query_cmdrels_weight_analyze/0.4_0.3_0.3/au_935569.xlsx","au_935569")</f>
        <v>au_935569</v>
      </c>
      <c r="B205" s="2">
        <v>0.14285714285714279</v>
      </c>
      <c r="C205" s="2">
        <v>0</v>
      </c>
      <c r="D205" s="2">
        <v>0.42857142857142849</v>
      </c>
      <c r="E205" s="2">
        <v>0.16666666666666671</v>
      </c>
      <c r="F205" s="2">
        <v>0.54285714285714282</v>
      </c>
      <c r="G205" s="2">
        <v>0.16666666666666671</v>
      </c>
      <c r="H205" s="4"/>
      <c r="I205" s="4"/>
      <c r="J205" s="4"/>
      <c r="K205" s="4"/>
      <c r="L205" s="4"/>
    </row>
    <row r="206" spans="1:12" x14ac:dyDescent="0.15">
      <c r="A206" s="2" t="str">
        <f>HYPERLINK("./new_k5/query_cmdrels_weight_analyze/0.4_0.3_0.3/au_97936.xlsx","au_97936")</f>
        <v>au_97936</v>
      </c>
      <c r="B206" s="2">
        <v>0.14285714285714279</v>
      </c>
      <c r="C206" s="2">
        <v>0.14285714285714279</v>
      </c>
      <c r="D206" s="2">
        <v>0.2857142857142857</v>
      </c>
      <c r="E206" s="2">
        <v>0.2857142857142857</v>
      </c>
      <c r="F206" s="2">
        <v>0.2857142857142857</v>
      </c>
      <c r="G206" s="2">
        <v>0.2857142857142857</v>
      </c>
      <c r="H206" s="4"/>
      <c r="I206" s="4"/>
      <c r="J206" s="4"/>
      <c r="K206" s="4"/>
      <c r="L206" s="4"/>
    </row>
    <row r="207" spans="1:12" x14ac:dyDescent="0.15">
      <c r="A207" s="2" t="str">
        <f>HYPERLINK("./new_k5/query_cmdrels_weight_analyze/0.4_0.3_0.3/so_10235778.xlsx","so_10235778")</f>
        <v>so_10235778</v>
      </c>
      <c r="B207" s="2">
        <v>0.25</v>
      </c>
      <c r="C207" s="2">
        <v>0.25</v>
      </c>
      <c r="D207" s="2">
        <v>0.5</v>
      </c>
      <c r="E207" s="2">
        <v>0.41666666666666657</v>
      </c>
      <c r="F207" s="2">
        <v>0.5</v>
      </c>
      <c r="G207" s="2">
        <v>0.41666666666666657</v>
      </c>
      <c r="H207" s="4"/>
      <c r="I207" s="4"/>
      <c r="J207" s="4"/>
      <c r="K207" s="4"/>
      <c r="L207" s="4"/>
    </row>
    <row r="208" spans="1:12" x14ac:dyDescent="0.15">
      <c r="A208" s="2" t="str">
        <f>HYPERLINK("./new_k5/query_cmdrels_weight_analyze/0.4_0.3_0.3/so_1045910.xlsx","so_1045910")</f>
        <v>so_1045910</v>
      </c>
      <c r="B208" s="2">
        <v>0.25</v>
      </c>
      <c r="C208" s="2">
        <v>0</v>
      </c>
      <c r="D208" s="2">
        <v>0.25</v>
      </c>
      <c r="E208" s="2">
        <v>0.29166666666666657</v>
      </c>
      <c r="F208" s="2">
        <v>0.25</v>
      </c>
      <c r="G208" s="2">
        <v>0.29166666666666657</v>
      </c>
      <c r="H208" s="4"/>
      <c r="I208" s="4"/>
      <c r="J208" s="4"/>
      <c r="K208" s="4"/>
      <c r="L208" s="4"/>
    </row>
    <row r="209" spans="1:12" x14ac:dyDescent="0.15">
      <c r="A209" s="2" t="str">
        <f>HYPERLINK("./new_k5/query_cmdrels_weight_analyze/0.4_0.3_0.3/so_10557360.xlsx","so_10557360")</f>
        <v>so_10557360</v>
      </c>
      <c r="B209" s="2">
        <v>0</v>
      </c>
      <c r="C209" s="2">
        <v>0</v>
      </c>
      <c r="D209" s="2">
        <v>0</v>
      </c>
      <c r="E209" s="2">
        <v>6.6666666666666666E-2</v>
      </c>
      <c r="F209" s="2">
        <v>0</v>
      </c>
      <c r="G209" s="2">
        <v>6.6666666666666666E-2</v>
      </c>
      <c r="H209" s="4"/>
      <c r="I209" s="4"/>
      <c r="J209" s="4"/>
      <c r="K209" s="4"/>
      <c r="L209" s="4"/>
    </row>
    <row r="210" spans="1:12" x14ac:dyDescent="0.15">
      <c r="A210" s="2" t="str">
        <f>HYPERLINK("./new_k5/query_cmdrels_weight_analyze/0.4_0.3_0.3/so_1058047.xlsx","so_1058047")</f>
        <v>so_1058047</v>
      </c>
      <c r="B210" s="2">
        <v>0.25</v>
      </c>
      <c r="C210" s="2">
        <v>0.25</v>
      </c>
      <c r="D210" s="2">
        <v>0.25</v>
      </c>
      <c r="E210" s="2">
        <v>0.25</v>
      </c>
      <c r="F210" s="2">
        <v>0.25</v>
      </c>
      <c r="G210" s="2">
        <v>0.375</v>
      </c>
      <c r="H210" s="4"/>
      <c r="I210" s="4"/>
      <c r="J210" s="4"/>
      <c r="K210" s="4"/>
      <c r="L210" s="4"/>
    </row>
    <row r="211" spans="1:12" x14ac:dyDescent="0.15">
      <c r="A211" s="2" t="str">
        <f>HYPERLINK("./new_k5/query_cmdrels_weight_analyze/0.4_0.3_0.3/so_10829402.xlsx","so_10829402")</f>
        <v>so_10829402</v>
      </c>
      <c r="B211" s="2">
        <v>0.5</v>
      </c>
      <c r="C211" s="2">
        <v>0.5</v>
      </c>
      <c r="D211" s="2">
        <v>0.83333333333333326</v>
      </c>
      <c r="E211" s="2">
        <v>0.5</v>
      </c>
      <c r="F211" s="2">
        <v>0.83333333333333326</v>
      </c>
      <c r="G211" s="2">
        <v>0.5</v>
      </c>
      <c r="H211" s="4"/>
      <c r="I211" s="4"/>
      <c r="J211" s="4"/>
      <c r="K211" s="4"/>
      <c r="L211" s="4"/>
    </row>
    <row r="212" spans="1:12" x14ac:dyDescent="0.15">
      <c r="A212" s="2" t="str">
        <f>HYPERLINK("./new_k5/query_cmdrels_weight_analyze/0.4_0.3_0.3/so_1088098.xlsx","so_1088098")</f>
        <v>so_1088098</v>
      </c>
      <c r="B212" s="2">
        <v>0</v>
      </c>
      <c r="C212" s="2">
        <v>0.25</v>
      </c>
      <c r="D212" s="2">
        <v>0.125</v>
      </c>
      <c r="E212" s="2">
        <v>0.25</v>
      </c>
      <c r="F212" s="2">
        <v>0.125</v>
      </c>
      <c r="G212" s="2">
        <v>0.25</v>
      </c>
      <c r="H212" s="4"/>
      <c r="I212" s="4"/>
      <c r="J212" s="4"/>
      <c r="K212" s="4"/>
      <c r="L212" s="4"/>
    </row>
    <row r="213" spans="1:12" x14ac:dyDescent="0.15">
      <c r="A213" s="2" t="str">
        <f>HYPERLINK("./new_k5/query_cmdrels_weight_analyze/0.4_0.3_0.3/so_10990949.xlsx","so_10990949")</f>
        <v>so_10990949</v>
      </c>
      <c r="B213" s="2">
        <v>0.5</v>
      </c>
      <c r="C213" s="2">
        <v>0.5</v>
      </c>
      <c r="D213" s="2">
        <v>0.5</v>
      </c>
      <c r="E213" s="2">
        <v>0.5</v>
      </c>
      <c r="F213" s="2">
        <v>0.5</v>
      </c>
      <c r="G213" s="2">
        <v>0.5</v>
      </c>
      <c r="H213" s="4"/>
      <c r="I213" s="4"/>
      <c r="J213" s="4"/>
      <c r="K213" s="4"/>
      <c r="L213" s="4"/>
    </row>
    <row r="214" spans="1:12" x14ac:dyDescent="0.15">
      <c r="A214" s="2" t="str">
        <f>HYPERLINK("./new_k5/query_cmdrels_weight_analyze/0.4_0.3_0.3/so_11211705.xlsx","so_11211705")</f>
        <v>so_11211705</v>
      </c>
      <c r="B214" s="2">
        <v>0</v>
      </c>
      <c r="C214" s="2">
        <v>0.25</v>
      </c>
      <c r="D214" s="2">
        <v>0</v>
      </c>
      <c r="E214" s="2">
        <v>0.5</v>
      </c>
      <c r="F214" s="2">
        <v>0.05</v>
      </c>
      <c r="G214" s="2">
        <v>0.5</v>
      </c>
      <c r="H214" s="4"/>
      <c r="I214" s="4"/>
      <c r="J214" s="4"/>
      <c r="K214" s="4"/>
      <c r="L214" s="4"/>
    </row>
    <row r="215" spans="1:12" x14ac:dyDescent="0.15">
      <c r="A215" s="2" t="str">
        <f>HYPERLINK("./new_k5/query_cmdrels_weight_analyze/0.4_0.3_0.3/so_112932.xlsx","so_112932")</f>
        <v>so_112932</v>
      </c>
      <c r="B215" s="2">
        <v>0</v>
      </c>
      <c r="C215" s="2">
        <v>0</v>
      </c>
      <c r="D215" s="2">
        <v>0.16666666666666671</v>
      </c>
      <c r="E215" s="2">
        <v>0.38888888888888878</v>
      </c>
      <c r="F215" s="2">
        <v>0.16666666666666671</v>
      </c>
      <c r="G215" s="2">
        <v>0.38888888888888878</v>
      </c>
      <c r="H215" s="4"/>
      <c r="I215" s="4"/>
      <c r="J215" s="4"/>
      <c r="K215" s="4"/>
      <c r="L215" s="4"/>
    </row>
    <row r="216" spans="1:12" x14ac:dyDescent="0.15">
      <c r="A216" s="2" t="str">
        <f>HYPERLINK("./new_k5/query_cmdrels_weight_analyze/0.4_0.3_0.3/so_11392189.xlsx","so_11392189")</f>
        <v>so_11392189</v>
      </c>
      <c r="B216" s="2">
        <v>0</v>
      </c>
      <c r="C216" s="2">
        <v>0</v>
      </c>
      <c r="D216" s="2">
        <v>0</v>
      </c>
      <c r="E216" s="2">
        <v>8.3333333333333329E-2</v>
      </c>
      <c r="F216" s="2">
        <v>0</v>
      </c>
      <c r="G216" s="2">
        <v>8.3333333333333329E-2</v>
      </c>
      <c r="H216" s="4"/>
      <c r="I216" s="4"/>
      <c r="J216" s="4"/>
      <c r="K216" s="4"/>
      <c r="L216" s="4"/>
    </row>
    <row r="217" spans="1:12" x14ac:dyDescent="0.15">
      <c r="A217" s="2" t="str">
        <f>HYPERLINK("./new_k5/query_cmdrels_weight_analyze/0.4_0.3_0.3/so_1183183.xlsx","so_1183183")</f>
        <v>so_1183183</v>
      </c>
      <c r="B217" s="2">
        <v>0</v>
      </c>
      <c r="C217" s="2">
        <v>0</v>
      </c>
      <c r="D217" s="2">
        <v>0</v>
      </c>
      <c r="E217" s="2">
        <v>0.33333333333333331</v>
      </c>
      <c r="F217" s="2">
        <v>0</v>
      </c>
      <c r="G217" s="2">
        <v>0.33333333333333331</v>
      </c>
      <c r="H217" s="4"/>
      <c r="I217" s="4"/>
      <c r="J217" s="4"/>
      <c r="K217" s="4"/>
      <c r="L217" s="4"/>
    </row>
    <row r="218" spans="1:12" x14ac:dyDescent="0.15">
      <c r="A218" s="2" t="str">
        <f>HYPERLINK("./new_k5/query_cmdrels_weight_analyze/0.4_0.3_0.3/so_1194882.xlsx","so_1194882")</f>
        <v>so_1194882</v>
      </c>
      <c r="B218" s="2">
        <v>0.2</v>
      </c>
      <c r="C218" s="2">
        <v>0.2</v>
      </c>
      <c r="D218" s="2">
        <v>0.2</v>
      </c>
      <c r="E218" s="2">
        <v>0.33333333333333331</v>
      </c>
      <c r="F218" s="2">
        <v>0.2</v>
      </c>
      <c r="G218" s="2">
        <v>0.48333333333333328</v>
      </c>
      <c r="H218" s="4"/>
      <c r="I218" s="4"/>
      <c r="J218" s="4"/>
      <c r="K218" s="4"/>
      <c r="L218" s="4"/>
    </row>
    <row r="219" spans="1:12" x14ac:dyDescent="0.15">
      <c r="A219" s="2" t="str">
        <f>HYPERLINK("./new_k5/query_cmdrels_weight_analyze/0.4_0.3_0.3/so_12120935.xlsx","so_12120935")</f>
        <v>so_12120935</v>
      </c>
      <c r="B219" s="2">
        <v>0.25</v>
      </c>
      <c r="C219" s="2">
        <v>0.25</v>
      </c>
      <c r="D219" s="2">
        <v>0.41666666666666657</v>
      </c>
      <c r="E219" s="2">
        <v>0.75</v>
      </c>
      <c r="F219" s="2">
        <v>0.41666666666666657</v>
      </c>
      <c r="G219" s="2">
        <v>0.75</v>
      </c>
      <c r="H219" s="4"/>
      <c r="I219" s="4"/>
      <c r="J219" s="4"/>
      <c r="K219" s="4"/>
      <c r="L219" s="4"/>
    </row>
    <row r="220" spans="1:12" x14ac:dyDescent="0.15">
      <c r="A220" s="2" t="str">
        <f>HYPERLINK("./new_k5/query_cmdrels_weight_analyze/0.4_0.3_0.3/so_12313384.xlsx","so_12313384")</f>
        <v>so_12313384</v>
      </c>
      <c r="B220" s="2">
        <v>0</v>
      </c>
      <c r="C220" s="2">
        <v>0.33333333333333331</v>
      </c>
      <c r="D220" s="2">
        <v>0.16666666666666671</v>
      </c>
      <c r="E220" s="2">
        <v>0.66666666666666663</v>
      </c>
      <c r="F220" s="2">
        <v>0.16666666666666671</v>
      </c>
      <c r="G220" s="2">
        <v>0.66666666666666663</v>
      </c>
      <c r="H220" s="4"/>
      <c r="I220" s="4"/>
      <c r="J220" s="4"/>
      <c r="K220" s="4"/>
      <c r="L220" s="4"/>
    </row>
    <row r="221" spans="1:12" x14ac:dyDescent="0.15">
      <c r="A221" s="2" t="str">
        <f>HYPERLINK("./new_k5/query_cmdrels_weight_analyze/0.4_0.3_0.3/so_12392598.xlsx","so_12392598")</f>
        <v>so_12392598</v>
      </c>
      <c r="B221" s="2">
        <v>0.14285714285714279</v>
      </c>
      <c r="C221" s="2">
        <v>0.14285714285714279</v>
      </c>
      <c r="D221" s="2">
        <v>0.2857142857142857</v>
      </c>
      <c r="E221" s="2">
        <v>0.42857142857142849</v>
      </c>
      <c r="F221" s="2">
        <v>0.2857142857142857</v>
      </c>
      <c r="G221" s="2">
        <v>0.54285714285714282</v>
      </c>
      <c r="H221" s="4"/>
      <c r="I221" s="4"/>
      <c r="J221" s="4"/>
      <c r="K221" s="4"/>
      <c r="L221" s="4"/>
    </row>
    <row r="222" spans="1:12" x14ac:dyDescent="0.15">
      <c r="A222" s="2" t="str">
        <f>HYPERLINK("./new_k5/query_cmdrels_weight_analyze/0.4_0.3_0.3/so_1241801.xlsx","so_1241801")</f>
        <v>so_1241801</v>
      </c>
      <c r="B222" s="2">
        <v>0.5</v>
      </c>
      <c r="C222" s="2">
        <v>0.5</v>
      </c>
      <c r="D222" s="2">
        <v>1</v>
      </c>
      <c r="E222" s="2">
        <v>1</v>
      </c>
      <c r="F222" s="2">
        <v>1</v>
      </c>
      <c r="G222" s="2">
        <v>1</v>
      </c>
      <c r="H222" s="4"/>
      <c r="I222" s="4"/>
      <c r="J222" s="4"/>
      <c r="K222" s="4"/>
      <c r="L222" s="4"/>
    </row>
    <row r="223" spans="1:12" x14ac:dyDescent="0.15">
      <c r="A223" s="2" t="str">
        <f>HYPERLINK("./new_k5/query_cmdrels_weight_analyze/0.4_0.3_0.3/so_12522269.xlsx","so_12522269")</f>
        <v>so_12522269</v>
      </c>
      <c r="B223" s="2">
        <v>0.2</v>
      </c>
      <c r="C223" s="2">
        <v>0</v>
      </c>
      <c r="D223" s="2">
        <v>0.2</v>
      </c>
      <c r="E223" s="2">
        <v>0.1</v>
      </c>
      <c r="F223" s="2">
        <v>0.28000000000000003</v>
      </c>
      <c r="G223" s="2">
        <v>0.1</v>
      </c>
      <c r="H223" s="4"/>
      <c r="I223" s="4"/>
      <c r="J223" s="4"/>
      <c r="K223" s="4"/>
      <c r="L223" s="4"/>
    </row>
    <row r="224" spans="1:12" x14ac:dyDescent="0.15">
      <c r="A224" s="2" t="str">
        <f>HYPERLINK("./new_k5/query_cmdrels_weight_analyze/0.4_0.3_0.3/so_1293907.xlsx","so_1293907")</f>
        <v>so_1293907</v>
      </c>
      <c r="B224" s="2">
        <v>0</v>
      </c>
      <c r="C224" s="2">
        <v>0.33333333333333331</v>
      </c>
      <c r="D224" s="2">
        <v>0</v>
      </c>
      <c r="E224" s="2">
        <v>0.66666666666666663</v>
      </c>
      <c r="F224" s="2">
        <v>8.3333333333333329E-2</v>
      </c>
      <c r="G224" s="2">
        <v>0.8666666666666667</v>
      </c>
      <c r="H224" s="4"/>
      <c r="I224" s="4"/>
      <c r="J224" s="4"/>
      <c r="K224" s="4"/>
      <c r="L224" s="4"/>
    </row>
    <row r="225" spans="1:12" x14ac:dyDescent="0.15">
      <c r="A225" s="2" t="str">
        <f>HYPERLINK("./new_k5/query_cmdrels_weight_analyze/0.4_0.3_0.3/so_13428910.xlsx","so_13428910")</f>
        <v>so_13428910</v>
      </c>
      <c r="B225" s="2">
        <v>0.33333333333333331</v>
      </c>
      <c r="C225" s="2">
        <v>0.33333333333333331</v>
      </c>
      <c r="D225" s="2">
        <v>1</v>
      </c>
      <c r="E225" s="2">
        <v>1</v>
      </c>
      <c r="F225" s="2">
        <v>1</v>
      </c>
      <c r="G225" s="2">
        <v>1</v>
      </c>
      <c r="H225" s="4"/>
      <c r="I225" s="4"/>
      <c r="J225" s="4"/>
      <c r="K225" s="4"/>
      <c r="L225" s="4"/>
    </row>
    <row r="226" spans="1:12" x14ac:dyDescent="0.15">
      <c r="A226" s="2" t="str">
        <f>HYPERLINK("./new_k5/query_cmdrels_weight_analyze/0.4_0.3_0.3/so_135688.xlsx","so_135688")</f>
        <v>so_135688</v>
      </c>
      <c r="B226" s="2">
        <v>1</v>
      </c>
      <c r="C226" s="2">
        <v>1</v>
      </c>
      <c r="D226" s="2">
        <v>1</v>
      </c>
      <c r="E226" s="2">
        <v>1</v>
      </c>
      <c r="F226" s="2">
        <v>1</v>
      </c>
      <c r="G226" s="2">
        <v>1</v>
      </c>
      <c r="H226" s="4"/>
      <c r="I226" s="4"/>
      <c r="J226" s="4"/>
      <c r="K226" s="4"/>
      <c r="L226" s="4"/>
    </row>
    <row r="227" spans="1:12" x14ac:dyDescent="0.15">
      <c r="A227" s="2" t="str">
        <f>HYPERLINK("./new_k5/query_cmdrels_weight_analyze/0.4_0.3_0.3/so_13778273.xlsx","so_13778273")</f>
        <v>so_13778273</v>
      </c>
      <c r="B227" s="2">
        <v>0.25</v>
      </c>
      <c r="C227" s="2">
        <v>0.25</v>
      </c>
      <c r="D227" s="2">
        <v>0.25</v>
      </c>
      <c r="E227" s="2">
        <v>0.5</v>
      </c>
      <c r="F227" s="2">
        <v>0.25</v>
      </c>
      <c r="G227" s="2">
        <v>0.5</v>
      </c>
      <c r="H227" s="4"/>
      <c r="I227" s="4"/>
      <c r="J227" s="4"/>
      <c r="K227" s="4"/>
      <c r="L227" s="4"/>
    </row>
    <row r="228" spans="1:12" x14ac:dyDescent="0.15">
      <c r="A228" s="2" t="str">
        <f>HYPERLINK("./new_k5/query_cmdrels_weight_analyze/0.4_0.3_0.3/so_1405611.xlsx","so_1405611")</f>
        <v>so_1405611</v>
      </c>
      <c r="B228" s="2">
        <v>0.33333333333333331</v>
      </c>
      <c r="C228" s="2">
        <v>0</v>
      </c>
      <c r="D228" s="2">
        <v>0.33333333333333331</v>
      </c>
      <c r="E228" s="2">
        <v>0</v>
      </c>
      <c r="F228" s="2">
        <v>0.33333333333333331</v>
      </c>
      <c r="G228" s="2">
        <v>8.3333333333333329E-2</v>
      </c>
      <c r="H228" s="4"/>
      <c r="I228" s="4"/>
      <c r="J228" s="4"/>
      <c r="K228" s="4"/>
      <c r="L228" s="4"/>
    </row>
    <row r="229" spans="1:12" x14ac:dyDescent="0.15">
      <c r="A229" s="2" t="str">
        <f>HYPERLINK("./new_k5/query_cmdrels_weight_analyze/0.4_0.3_0.3/so_14300794.xlsx","so_14300794")</f>
        <v>so_14300794</v>
      </c>
      <c r="B229" s="2">
        <v>0.16666666666666671</v>
      </c>
      <c r="C229" s="2">
        <v>0.16666666666666671</v>
      </c>
      <c r="D229" s="2">
        <v>0.33333333333333331</v>
      </c>
      <c r="E229" s="2">
        <v>0.5</v>
      </c>
      <c r="F229" s="2">
        <v>0.59166666666666667</v>
      </c>
      <c r="G229" s="2">
        <v>0.83333333333333337</v>
      </c>
      <c r="H229" s="4"/>
      <c r="I229" s="4"/>
      <c r="J229" s="4"/>
      <c r="K229" s="4"/>
      <c r="L229" s="4"/>
    </row>
    <row r="230" spans="1:12" x14ac:dyDescent="0.15">
      <c r="A230" s="2" t="str">
        <f>HYPERLINK("./new_k5/query_cmdrels_weight_analyze/0.4_0.3_0.3/so_143791.xlsx","so_143791")</f>
        <v>so_143791</v>
      </c>
      <c r="B230" s="2">
        <v>0.125</v>
      </c>
      <c r="C230" s="2">
        <v>0</v>
      </c>
      <c r="D230" s="2">
        <v>0.375</v>
      </c>
      <c r="E230" s="2">
        <v>0.14583333333333329</v>
      </c>
      <c r="F230" s="2">
        <v>0.375</v>
      </c>
      <c r="G230" s="2">
        <v>0.33958333333333329</v>
      </c>
      <c r="H230" s="4"/>
      <c r="I230" s="4"/>
      <c r="J230" s="4"/>
      <c r="K230" s="4"/>
      <c r="L230" s="4"/>
    </row>
    <row r="231" spans="1:12" x14ac:dyDescent="0.15">
      <c r="A231" s="2" t="str">
        <f>HYPERLINK("./new_k5/query_cmdrels_weight_analyze/0.4_0.3_0.3/so_14750650.xlsx","so_14750650")</f>
        <v>so_14750650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0.05</v>
      </c>
      <c r="H231" s="4"/>
      <c r="I231" s="4"/>
      <c r="J231" s="4"/>
      <c r="K231" s="4"/>
      <c r="L231" s="4"/>
    </row>
    <row r="232" spans="1:12" x14ac:dyDescent="0.15">
      <c r="A232" s="2" t="str">
        <f>HYPERLINK("./new_k5/query_cmdrels_weight_analyze/0.4_0.3_0.3/so_14978411.xlsx","so_14978411")</f>
        <v>so_14978411</v>
      </c>
      <c r="B232" s="2">
        <v>0.5</v>
      </c>
      <c r="C232" s="2">
        <v>0.5</v>
      </c>
      <c r="D232" s="2">
        <v>0.5</v>
      </c>
      <c r="E232" s="2">
        <v>0.5</v>
      </c>
      <c r="F232" s="2">
        <v>0.5</v>
      </c>
      <c r="G232" s="2">
        <v>0.5</v>
      </c>
      <c r="H232" s="4"/>
      <c r="I232" s="4"/>
      <c r="J232" s="4"/>
      <c r="K232" s="4"/>
      <c r="L232" s="4"/>
    </row>
    <row r="233" spans="1:12" x14ac:dyDescent="0.15">
      <c r="A233" s="2" t="str">
        <f>HYPERLINK("./new_k5/query_cmdrels_weight_analyze/0.4_0.3_0.3/so_15236308.xlsx","so_15236308")</f>
        <v>so_15236308</v>
      </c>
      <c r="B233" s="2">
        <v>0.25</v>
      </c>
      <c r="C233" s="2">
        <v>0.25</v>
      </c>
      <c r="D233" s="2">
        <v>0.25</v>
      </c>
      <c r="E233" s="2">
        <v>0.5</v>
      </c>
      <c r="F233" s="2">
        <v>0.25</v>
      </c>
      <c r="G233" s="2">
        <v>0.6875</v>
      </c>
      <c r="H233" s="4"/>
      <c r="I233" s="4"/>
      <c r="J233" s="4"/>
      <c r="K233" s="4"/>
      <c r="L233" s="4"/>
    </row>
    <row r="234" spans="1:12" x14ac:dyDescent="0.15">
      <c r="A234" s="2" t="str">
        <f>HYPERLINK("./new_k5/query_cmdrels_weight_analyze/0.4_0.3_0.3/so_15286947.xlsx","so_15286947")</f>
        <v>so_15286947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4"/>
      <c r="I234" s="4"/>
      <c r="J234" s="4"/>
      <c r="K234" s="4"/>
      <c r="L234" s="4"/>
    </row>
    <row r="235" spans="1:12" x14ac:dyDescent="0.15">
      <c r="A235" s="2" t="str">
        <f>HYPERLINK("./new_k5/query_cmdrels_weight_analyze/0.4_0.3_0.3/so_15402770.xlsx","so_15402770")</f>
        <v>so_15402770</v>
      </c>
      <c r="B235" s="2">
        <v>0</v>
      </c>
      <c r="C235" s="2">
        <v>0.16666666666666671</v>
      </c>
      <c r="D235" s="2">
        <v>0.19444444444444439</v>
      </c>
      <c r="E235" s="2">
        <v>0.27777777777777768</v>
      </c>
      <c r="F235" s="2">
        <v>0.19444444444444439</v>
      </c>
      <c r="G235" s="2">
        <v>0.40277777777777768</v>
      </c>
      <c r="H235" s="4"/>
      <c r="I235" s="4"/>
      <c r="J235" s="4"/>
      <c r="K235" s="4"/>
      <c r="L235" s="4"/>
    </row>
    <row r="236" spans="1:12" x14ac:dyDescent="0.15">
      <c r="A236" s="2" t="str">
        <f>HYPERLINK("./new_k5/query_cmdrels_weight_analyze/0.4_0.3_0.3/so_1570262.xlsx","so_1570262")</f>
        <v>so_1570262</v>
      </c>
      <c r="B236" s="2">
        <v>0</v>
      </c>
      <c r="C236" s="2">
        <v>0</v>
      </c>
      <c r="D236" s="2">
        <v>0</v>
      </c>
      <c r="E236" s="2">
        <v>6.6666666666666666E-2</v>
      </c>
      <c r="F236" s="2">
        <v>0</v>
      </c>
      <c r="G236" s="2">
        <v>0.1466666666666667</v>
      </c>
      <c r="H236" s="4"/>
      <c r="I236" s="4"/>
      <c r="J236" s="4"/>
      <c r="K236" s="4"/>
      <c r="L236" s="4"/>
    </row>
    <row r="237" spans="1:12" x14ac:dyDescent="0.15">
      <c r="A237" s="2" t="str">
        <f>HYPERLINK("./new_k5/query_cmdrels_weight_analyze/0.4_0.3_0.3/so_1583219.xlsx","so_1583219")</f>
        <v>so_1583219</v>
      </c>
      <c r="B237" s="2">
        <v>0.125</v>
      </c>
      <c r="C237" s="2">
        <v>0.125</v>
      </c>
      <c r="D237" s="2">
        <v>0.375</v>
      </c>
      <c r="E237" s="2">
        <v>0.25</v>
      </c>
      <c r="F237" s="2">
        <v>0.375</v>
      </c>
      <c r="G237" s="2">
        <v>0.32500000000000001</v>
      </c>
      <c r="H237" s="4"/>
      <c r="I237" s="4"/>
      <c r="J237" s="4"/>
      <c r="K237" s="4"/>
      <c r="L237" s="4"/>
    </row>
    <row r="238" spans="1:12" x14ac:dyDescent="0.15">
      <c r="A238" s="2" t="str">
        <f>HYPERLINK("./new_k5/query_cmdrels_weight_analyze/0.4_0.3_0.3/so_15872543.xlsx","so_15872543")</f>
        <v>so_15872543</v>
      </c>
      <c r="B238" s="2">
        <v>0</v>
      </c>
      <c r="C238" s="2">
        <v>0.5</v>
      </c>
      <c r="D238" s="2">
        <v>0.58333333333333326</v>
      </c>
      <c r="E238" s="2">
        <v>0.83333333333333326</v>
      </c>
      <c r="F238" s="2">
        <v>0.58333333333333326</v>
      </c>
      <c r="G238" s="2">
        <v>0.83333333333333326</v>
      </c>
      <c r="H238" s="4"/>
      <c r="I238" s="4"/>
      <c r="J238" s="4"/>
      <c r="K238" s="4"/>
      <c r="L238" s="4"/>
    </row>
    <row r="239" spans="1:12" x14ac:dyDescent="0.15">
      <c r="A239" s="2" t="str">
        <f>HYPERLINK("./new_k5/query_cmdrels_weight_analyze/0.4_0.3_0.3/so_16038087.xlsx","so_16038087")</f>
        <v>so_16038087</v>
      </c>
      <c r="B239" s="2">
        <v>0.14285714285714279</v>
      </c>
      <c r="C239" s="2">
        <v>0.14285714285714279</v>
      </c>
      <c r="D239" s="2">
        <v>0.2857142857142857</v>
      </c>
      <c r="E239" s="2">
        <v>0.42857142857142849</v>
      </c>
      <c r="F239" s="2">
        <v>0.2857142857142857</v>
      </c>
      <c r="G239" s="2">
        <v>0.5714285714285714</v>
      </c>
      <c r="H239" s="4"/>
      <c r="I239" s="4"/>
      <c r="J239" s="4"/>
      <c r="K239" s="4"/>
      <c r="L239" s="4"/>
    </row>
    <row r="240" spans="1:12" x14ac:dyDescent="0.15">
      <c r="A240" s="2" t="str">
        <f>HYPERLINK("./new_k5/query_cmdrels_weight_analyze/0.4_0.3_0.3/so_16212656.xlsx","so_16212656")</f>
        <v>so_16212656</v>
      </c>
      <c r="B240" s="2">
        <v>0.1</v>
      </c>
      <c r="C240" s="2">
        <v>0.1</v>
      </c>
      <c r="D240" s="2">
        <v>0.1</v>
      </c>
      <c r="E240" s="2">
        <v>0.3</v>
      </c>
      <c r="F240" s="2">
        <v>0.1</v>
      </c>
      <c r="G240" s="2">
        <v>0.4</v>
      </c>
      <c r="H240" s="4"/>
      <c r="I240" s="4"/>
      <c r="J240" s="4"/>
      <c r="K240" s="4"/>
      <c r="L240" s="4"/>
    </row>
    <row r="241" spans="1:12" x14ac:dyDescent="0.15">
      <c r="A241" s="2" t="str">
        <f>HYPERLINK("./new_k5/query_cmdrels_weight_analyze/0.4_0.3_0.3/so_16575419.xlsx","so_16575419")</f>
        <v>so_16575419</v>
      </c>
      <c r="B241" s="2">
        <v>0.25</v>
      </c>
      <c r="C241" s="2">
        <v>0.25</v>
      </c>
      <c r="D241" s="2">
        <v>0.25</v>
      </c>
      <c r="E241" s="2">
        <v>0.75</v>
      </c>
      <c r="F241" s="2">
        <v>0.25</v>
      </c>
      <c r="G241" s="2">
        <v>0.75</v>
      </c>
      <c r="H241" s="4"/>
      <c r="I241" s="4"/>
      <c r="J241" s="4"/>
      <c r="K241" s="4"/>
      <c r="L241" s="4"/>
    </row>
    <row r="242" spans="1:12" x14ac:dyDescent="0.15">
      <c r="A242" s="2" t="str">
        <f>HYPERLINK("./new_k5/query_cmdrels_weight_analyze/0.4_0.3_0.3/so_17582768.xlsx","so_17582768")</f>
        <v>so_17582768</v>
      </c>
      <c r="B242" s="2">
        <v>0.33333333333333331</v>
      </c>
      <c r="C242" s="2">
        <v>0</v>
      </c>
      <c r="D242" s="2">
        <v>0.33333333333333331</v>
      </c>
      <c r="E242" s="2">
        <v>0</v>
      </c>
      <c r="F242" s="2">
        <v>0.33333333333333331</v>
      </c>
      <c r="G242" s="2">
        <v>8.3333333333333329E-2</v>
      </c>
      <c r="H242" s="4"/>
      <c r="I242" s="4"/>
      <c r="J242" s="4"/>
      <c r="K242" s="4"/>
      <c r="L242" s="4"/>
    </row>
    <row r="243" spans="1:12" x14ac:dyDescent="0.15">
      <c r="A243" s="2" t="str">
        <f>HYPERLINK("./new_k5/query_cmdrels_weight_analyze/0.4_0.3_0.3/so_17607612.xlsx","so_17607612")</f>
        <v>so_17607612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0.2</v>
      </c>
      <c r="H243" s="4"/>
      <c r="I243" s="4"/>
      <c r="J243" s="4"/>
      <c r="K243" s="4"/>
      <c r="L243" s="4"/>
    </row>
    <row r="244" spans="1:12" x14ac:dyDescent="0.15">
      <c r="A244" s="2" t="str">
        <f>HYPERLINK("./new_k5/query_cmdrels_weight_analyze/0.4_0.3_0.3/so_17829785.xlsx","so_17829785")</f>
        <v>so_17829785</v>
      </c>
      <c r="B244" s="2">
        <v>0.25</v>
      </c>
      <c r="C244" s="2">
        <v>0.25</v>
      </c>
      <c r="D244" s="2">
        <v>0.25</v>
      </c>
      <c r="E244" s="2">
        <v>0.41666666666666657</v>
      </c>
      <c r="F244" s="2">
        <v>0.25</v>
      </c>
      <c r="G244" s="2">
        <v>0.41666666666666657</v>
      </c>
      <c r="H244" s="4"/>
      <c r="I244" s="4"/>
      <c r="J244" s="4"/>
      <c r="K244" s="4"/>
      <c r="L244" s="4"/>
    </row>
    <row r="245" spans="1:12" x14ac:dyDescent="0.15">
      <c r="A245" s="2" t="str">
        <f>HYPERLINK("./new_k5/query_cmdrels_weight_analyze/0.4_0.3_0.3/so_1839841.xlsx","so_1839841")</f>
        <v>so_1839841</v>
      </c>
      <c r="B245" s="2">
        <v>0.25</v>
      </c>
      <c r="C245" s="2">
        <v>0.25</v>
      </c>
      <c r="D245" s="2">
        <v>0.25</v>
      </c>
      <c r="E245" s="2">
        <v>0.25</v>
      </c>
      <c r="F245" s="2">
        <v>0.25</v>
      </c>
      <c r="G245" s="2">
        <v>0.25</v>
      </c>
      <c r="H245" s="4"/>
      <c r="I245" s="4"/>
      <c r="J245" s="4"/>
      <c r="K245" s="4"/>
      <c r="L245" s="4"/>
    </row>
    <row r="246" spans="1:12" x14ac:dyDescent="0.15">
      <c r="A246" s="2" t="str">
        <f>HYPERLINK("./new_k5/query_cmdrels_weight_analyze/0.4_0.3_0.3/so_18468716.xlsx","so_18468716")</f>
        <v>so_18468716</v>
      </c>
      <c r="B246" s="2">
        <v>0.33333333333333331</v>
      </c>
      <c r="C246" s="2">
        <v>0.33333333333333331</v>
      </c>
      <c r="D246" s="2">
        <v>0.33333333333333331</v>
      </c>
      <c r="E246" s="2">
        <v>0.33333333333333331</v>
      </c>
      <c r="F246" s="2">
        <v>0.33333333333333331</v>
      </c>
      <c r="G246" s="2">
        <v>0.46666666666666662</v>
      </c>
      <c r="H246" s="4"/>
      <c r="I246" s="4"/>
      <c r="J246" s="4"/>
      <c r="K246" s="4"/>
      <c r="L246" s="4"/>
    </row>
    <row r="247" spans="1:12" x14ac:dyDescent="0.15">
      <c r="A247" s="2" t="str">
        <f>HYPERLINK("./new_k5/query_cmdrels_weight_analyze/0.4_0.3_0.3/so_19196105.xlsx","so_19196105")</f>
        <v>so_19196105</v>
      </c>
      <c r="B247" s="2">
        <v>0.1</v>
      </c>
      <c r="C247" s="2">
        <v>0</v>
      </c>
      <c r="D247" s="2">
        <v>0.3</v>
      </c>
      <c r="E247" s="2">
        <v>0.1166666666666667</v>
      </c>
      <c r="F247" s="2">
        <v>0.5</v>
      </c>
      <c r="G247" s="2">
        <v>0.19166666666666671</v>
      </c>
      <c r="H247" s="4"/>
      <c r="I247" s="4"/>
      <c r="J247" s="4"/>
      <c r="K247" s="4"/>
      <c r="L247" s="4"/>
    </row>
    <row r="248" spans="1:12" x14ac:dyDescent="0.15">
      <c r="A248" s="2" t="str">
        <f>HYPERLINK("./new_k5/query_cmdrels_weight_analyze/0.4_0.3_0.3/so_19482123.xlsx","so_19482123")</f>
        <v>so_19482123</v>
      </c>
      <c r="B248" s="2">
        <v>0.2</v>
      </c>
      <c r="C248" s="2">
        <v>0.2</v>
      </c>
      <c r="D248" s="2">
        <v>0.4</v>
      </c>
      <c r="E248" s="2">
        <v>0.4</v>
      </c>
      <c r="F248" s="2">
        <v>0.4</v>
      </c>
      <c r="G248" s="2">
        <v>0.52</v>
      </c>
      <c r="H248" s="4"/>
      <c r="I248" s="4"/>
      <c r="J248" s="4"/>
      <c r="K248" s="4"/>
      <c r="L248" s="4"/>
    </row>
    <row r="249" spans="1:12" x14ac:dyDescent="0.15">
      <c r="A249" s="2" t="str">
        <f>HYPERLINK("./new_k5/query_cmdrels_weight_analyze/0.4_0.3_0.3/so_1975849.xlsx","so_1975849")</f>
        <v>so_1975849</v>
      </c>
      <c r="B249" s="2">
        <v>0</v>
      </c>
      <c r="C249" s="2">
        <v>0.33333333333333331</v>
      </c>
      <c r="D249" s="2">
        <v>0.16666666666666671</v>
      </c>
      <c r="E249" s="2">
        <v>0.33333333333333331</v>
      </c>
      <c r="F249" s="2">
        <v>0.16666666666666671</v>
      </c>
      <c r="G249" s="2">
        <v>0.5</v>
      </c>
      <c r="H249" s="4"/>
      <c r="I249" s="4"/>
      <c r="J249" s="4"/>
      <c r="K249" s="4"/>
      <c r="L249" s="4"/>
    </row>
    <row r="250" spans="1:12" x14ac:dyDescent="0.15">
      <c r="A250" s="2" t="str">
        <f>HYPERLINK("./new_k5/query_cmdrels_weight_analyze/0.4_0.3_0.3/so_212528.xlsx","so_212528")</f>
        <v>so_212528</v>
      </c>
      <c r="B250" s="2">
        <v>0</v>
      </c>
      <c r="C250" s="2">
        <v>0.16666666666666671</v>
      </c>
      <c r="D250" s="2">
        <v>0.19444444444444439</v>
      </c>
      <c r="E250" s="2">
        <v>0.33333333333333331</v>
      </c>
      <c r="F250" s="2">
        <v>0.19444444444444439</v>
      </c>
      <c r="G250" s="2">
        <v>0.45833333333333331</v>
      </c>
      <c r="H250" s="4"/>
      <c r="I250" s="4"/>
      <c r="J250" s="4"/>
      <c r="K250" s="4"/>
      <c r="L250" s="4"/>
    </row>
    <row r="251" spans="1:12" x14ac:dyDescent="0.15">
      <c r="A251" s="2" t="str">
        <f>HYPERLINK("./new_k5/query_cmdrels_weight_analyze/0.4_0.3_0.3/so_21620406.xlsx","so_21620406")</f>
        <v>so_21620406</v>
      </c>
      <c r="B251" s="2">
        <v>0</v>
      </c>
      <c r="C251" s="2">
        <v>0</v>
      </c>
      <c r="D251" s="2">
        <v>0.1111111111111111</v>
      </c>
      <c r="E251" s="2">
        <v>0.1111111111111111</v>
      </c>
      <c r="F251" s="2">
        <v>0.1111111111111111</v>
      </c>
      <c r="G251" s="2">
        <v>0.1111111111111111</v>
      </c>
      <c r="H251" s="4"/>
      <c r="I251" s="4"/>
      <c r="J251" s="4"/>
      <c r="K251" s="4"/>
      <c r="L251" s="4"/>
    </row>
    <row r="252" spans="1:12" x14ac:dyDescent="0.15">
      <c r="A252" s="2" t="str">
        <f>HYPERLINK("./new_k5/query_cmdrels_weight_analyze/0.4_0.3_0.3/so_23509348.xlsx","so_23509348")</f>
        <v>so_23509348</v>
      </c>
      <c r="B252" s="2">
        <v>0</v>
      </c>
      <c r="C252" s="2">
        <v>0</v>
      </c>
      <c r="D252" s="2">
        <v>0</v>
      </c>
      <c r="E252" s="2">
        <v>0.125</v>
      </c>
      <c r="F252" s="2">
        <v>0</v>
      </c>
      <c r="G252" s="2">
        <v>0.4</v>
      </c>
      <c r="H252" s="4"/>
      <c r="I252" s="4"/>
      <c r="J252" s="4"/>
      <c r="K252" s="4"/>
      <c r="L252" s="4"/>
    </row>
    <row r="253" spans="1:12" x14ac:dyDescent="0.15">
      <c r="A253" s="2" t="str">
        <f>HYPERLINK("./new_k5/query_cmdrels_weight_analyze/0.4_0.3_0.3/so_24058544.xlsx","so_24058544")</f>
        <v>so_24058544</v>
      </c>
      <c r="B253" s="2">
        <v>0.2</v>
      </c>
      <c r="C253" s="2">
        <v>0.2</v>
      </c>
      <c r="D253" s="2">
        <v>0.2</v>
      </c>
      <c r="E253" s="2">
        <v>0.33333333333333331</v>
      </c>
      <c r="F253" s="2">
        <v>0.2</v>
      </c>
      <c r="G253" s="2">
        <v>0.33333333333333331</v>
      </c>
      <c r="H253" s="4"/>
      <c r="I253" s="4"/>
      <c r="J253" s="4"/>
      <c r="K253" s="4"/>
      <c r="L253" s="4"/>
    </row>
    <row r="254" spans="1:12" x14ac:dyDescent="0.15">
      <c r="A254" s="2" t="str">
        <f>HYPERLINK("./new_k5/query_cmdrels_weight_analyze/0.4_0.3_0.3/so_24283097.xlsx","so_24283097")</f>
        <v>so_24283097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4"/>
      <c r="I254" s="4"/>
      <c r="J254" s="4"/>
      <c r="K254" s="4"/>
      <c r="L254" s="4"/>
    </row>
    <row r="255" spans="1:12" x14ac:dyDescent="0.15">
      <c r="A255" s="2" t="str">
        <f>HYPERLINK("./new_k5/query_cmdrels_weight_analyze/0.4_0.3_0.3/so_26256279.xlsx","so_26256279")</f>
        <v>so_26256279</v>
      </c>
      <c r="B255" s="2">
        <v>0.33333333333333331</v>
      </c>
      <c r="C255" s="2">
        <v>0.33333333333333331</v>
      </c>
      <c r="D255" s="2">
        <v>0.33333333333333331</v>
      </c>
      <c r="E255" s="2">
        <v>1</v>
      </c>
      <c r="F255" s="2">
        <v>0.33333333333333331</v>
      </c>
      <c r="G255" s="2">
        <v>1</v>
      </c>
      <c r="H255" s="4"/>
      <c r="I255" s="4"/>
      <c r="J255" s="4"/>
      <c r="K255" s="4"/>
      <c r="L255" s="4"/>
    </row>
    <row r="256" spans="1:12" x14ac:dyDescent="0.15">
      <c r="A256" s="2" t="str">
        <f>HYPERLINK("./new_k5/query_cmdrels_weight_analyze/0.4_0.3_0.3/so_26331651.xlsx","so_26331651")</f>
        <v>so_26331651</v>
      </c>
      <c r="B256" s="2">
        <v>0</v>
      </c>
      <c r="C256" s="2">
        <v>0.14285714285714279</v>
      </c>
      <c r="D256" s="2">
        <v>0</v>
      </c>
      <c r="E256" s="2">
        <v>0.23809523809523811</v>
      </c>
      <c r="F256" s="2">
        <v>0</v>
      </c>
      <c r="G256" s="2">
        <v>0.32380952380952382</v>
      </c>
      <c r="H256" s="4"/>
      <c r="I256" s="4"/>
      <c r="J256" s="4"/>
      <c r="K256" s="4"/>
      <c r="L256" s="4"/>
    </row>
    <row r="257" spans="1:12" x14ac:dyDescent="0.15">
      <c r="A257" s="2" t="str">
        <f>HYPERLINK("./new_k5/query_cmdrels_weight_analyze/0.4_0.3_0.3/so_26988262.xlsx","so_26988262")</f>
        <v>so_26988262</v>
      </c>
      <c r="B257" s="2">
        <v>0</v>
      </c>
      <c r="C257" s="2">
        <v>0.33333333333333331</v>
      </c>
      <c r="D257" s="2">
        <v>0.16666666666666671</v>
      </c>
      <c r="E257" s="2">
        <v>0.33333333333333331</v>
      </c>
      <c r="F257" s="2">
        <v>0.33333333333333331</v>
      </c>
      <c r="G257" s="2">
        <v>0.33333333333333331</v>
      </c>
      <c r="H257" s="4"/>
      <c r="I257" s="4"/>
      <c r="J257" s="4"/>
      <c r="K257" s="4"/>
      <c r="L257" s="4"/>
    </row>
    <row r="258" spans="1:12" x14ac:dyDescent="0.15">
      <c r="A258" s="2" t="str">
        <f>HYPERLINK("./new_k5/query_cmdrels_weight_analyze/0.4_0.3_0.3/so_27238411.xlsx","so_27238411")</f>
        <v>so_27238411</v>
      </c>
      <c r="B258" s="2">
        <v>0.2</v>
      </c>
      <c r="C258" s="2">
        <v>0.2</v>
      </c>
      <c r="D258" s="2">
        <v>0.6</v>
      </c>
      <c r="E258" s="2">
        <v>0.6</v>
      </c>
      <c r="F258" s="2">
        <v>0.6</v>
      </c>
      <c r="G258" s="2">
        <v>0.6</v>
      </c>
      <c r="H258" s="4"/>
      <c r="I258" s="4"/>
      <c r="J258" s="4"/>
      <c r="K258" s="4"/>
      <c r="L258" s="4"/>
    </row>
    <row r="259" spans="1:12" x14ac:dyDescent="0.15">
      <c r="A259" s="2" t="str">
        <f>HYPERLINK("./new_k5/query_cmdrels_weight_analyze/0.4_0.3_0.3/so_27943059.xlsx","so_27943059")</f>
        <v>so_27943059</v>
      </c>
      <c r="B259" s="2">
        <v>0</v>
      </c>
      <c r="C259" s="2">
        <v>0.33333333333333331</v>
      </c>
      <c r="D259" s="2">
        <v>0.16666666666666671</v>
      </c>
      <c r="E259" s="2">
        <v>0.33333333333333331</v>
      </c>
      <c r="F259" s="2">
        <v>0.16666666666666671</v>
      </c>
      <c r="G259" s="2">
        <v>0.5</v>
      </c>
      <c r="H259" s="4"/>
      <c r="I259" s="4"/>
      <c r="J259" s="4"/>
      <c r="K259" s="4"/>
      <c r="L259" s="4"/>
    </row>
    <row r="260" spans="1:12" x14ac:dyDescent="0.15">
      <c r="A260" s="2" t="str">
        <f>HYPERLINK("./new_k5/query_cmdrels_weight_analyze/0.4_0.3_0.3/so_28869004.xlsx","so_28869004")</f>
        <v>so_28869004</v>
      </c>
      <c r="B260" s="2">
        <v>0.33333333333333331</v>
      </c>
      <c r="C260" s="2">
        <v>0.33333333333333331</v>
      </c>
      <c r="D260" s="2">
        <v>0.55555555555555547</v>
      </c>
      <c r="E260" s="2">
        <v>0.33333333333333331</v>
      </c>
      <c r="F260" s="2">
        <v>0.55555555555555547</v>
      </c>
      <c r="G260" s="2">
        <v>0.5</v>
      </c>
      <c r="H260" s="4"/>
      <c r="I260" s="4"/>
      <c r="J260" s="4"/>
      <c r="K260" s="4"/>
      <c r="L260" s="4"/>
    </row>
    <row r="261" spans="1:12" x14ac:dyDescent="0.15">
      <c r="A261" s="2" t="str">
        <f>HYPERLINK("./new_k5/query_cmdrels_weight_analyze/0.4_0.3_0.3/so_2973624.xlsx","so_2973624")</f>
        <v>so_2973624</v>
      </c>
      <c r="B261" s="2">
        <v>0.33333333333333331</v>
      </c>
      <c r="C261" s="2">
        <v>0.33333333333333331</v>
      </c>
      <c r="D261" s="2">
        <v>0.66666666666666663</v>
      </c>
      <c r="E261" s="2">
        <v>1</v>
      </c>
      <c r="F261" s="2">
        <v>0.66666666666666663</v>
      </c>
      <c r="G261" s="2">
        <v>1</v>
      </c>
      <c r="H261" s="4"/>
      <c r="I261" s="4"/>
      <c r="J261" s="4"/>
      <c r="K261" s="4"/>
      <c r="L261" s="4"/>
    </row>
    <row r="262" spans="1:12" x14ac:dyDescent="0.15">
      <c r="A262" s="2" t="str">
        <f>HYPERLINK("./new_k5/query_cmdrels_weight_analyze/0.4_0.3_0.3/so_30177455.xlsx","so_30177455")</f>
        <v>so_30177455</v>
      </c>
      <c r="B262" s="2">
        <v>0</v>
      </c>
      <c r="C262" s="2">
        <v>0</v>
      </c>
      <c r="D262" s="2">
        <v>0.16666666666666671</v>
      </c>
      <c r="E262" s="2">
        <v>0.1111111111111111</v>
      </c>
      <c r="F262" s="2">
        <v>0.16666666666666671</v>
      </c>
      <c r="G262" s="2">
        <v>0.1111111111111111</v>
      </c>
      <c r="H262" s="4"/>
      <c r="I262" s="4"/>
      <c r="J262" s="4"/>
      <c r="K262" s="4"/>
      <c r="L262" s="4"/>
    </row>
    <row r="263" spans="1:12" x14ac:dyDescent="0.15">
      <c r="A263" s="2" t="str">
        <f>HYPERLINK("./new_k5/query_cmdrels_weight_analyze/0.4_0.3_0.3/so_30251889.xlsx","so_30251889")</f>
        <v>so_30251889</v>
      </c>
      <c r="B263" s="2">
        <v>0</v>
      </c>
      <c r="C263" s="2">
        <v>0</v>
      </c>
      <c r="D263" s="2">
        <v>0.125</v>
      </c>
      <c r="E263" s="2">
        <v>0.29166666666666657</v>
      </c>
      <c r="F263" s="2">
        <v>0.22500000000000001</v>
      </c>
      <c r="G263" s="2">
        <v>0.6791666666666667</v>
      </c>
      <c r="H263" s="4"/>
      <c r="I263" s="4"/>
      <c r="J263" s="4"/>
      <c r="K263" s="4"/>
      <c r="L263" s="4"/>
    </row>
    <row r="264" spans="1:12" x14ac:dyDescent="0.15">
      <c r="A264" s="2" t="str">
        <f>HYPERLINK("./new_k5/query_cmdrels_weight_analyze/0.4_0.3_0.3/so_305035.xlsx","so_305035")</f>
        <v>so_305035</v>
      </c>
      <c r="B264" s="2">
        <v>0</v>
      </c>
      <c r="C264" s="2">
        <v>0.5</v>
      </c>
      <c r="D264" s="2">
        <v>0.58333333333333326</v>
      </c>
      <c r="E264" s="2">
        <v>1</v>
      </c>
      <c r="F264" s="2">
        <v>0.58333333333333326</v>
      </c>
      <c r="G264" s="2">
        <v>1</v>
      </c>
      <c r="H264" s="4"/>
      <c r="I264" s="4"/>
      <c r="J264" s="4"/>
      <c r="K264" s="4"/>
      <c r="L264" s="4"/>
    </row>
    <row r="265" spans="1:12" x14ac:dyDescent="0.15">
      <c r="A265" s="2" t="str">
        <f>HYPERLINK("./new_k5/query_cmdrels_weight_analyze/0.4_0.3_0.3/so_36249744.xlsx","so_36249744")</f>
        <v>so_36249744</v>
      </c>
      <c r="B265" s="2">
        <v>1</v>
      </c>
      <c r="C265" s="2">
        <v>0</v>
      </c>
      <c r="D265" s="2">
        <v>1</v>
      </c>
      <c r="E265" s="2">
        <v>0.33333333333333331</v>
      </c>
      <c r="F265" s="2">
        <v>1</v>
      </c>
      <c r="G265" s="2">
        <v>0.33333333333333331</v>
      </c>
      <c r="H265" s="4"/>
      <c r="I265" s="4"/>
      <c r="J265" s="4"/>
      <c r="K265" s="4"/>
      <c r="L265" s="4"/>
    </row>
    <row r="266" spans="1:12" x14ac:dyDescent="0.15">
      <c r="A266" s="2" t="str">
        <f>HYPERLINK("./new_k5/query_cmdrels_weight_analyze/0.4_0.3_0.3/so_3643848.xlsx","so_3643848")</f>
        <v>so_3643848</v>
      </c>
      <c r="B266" s="2">
        <v>0.5</v>
      </c>
      <c r="C266" s="2">
        <v>0.5</v>
      </c>
      <c r="D266" s="2">
        <v>1</v>
      </c>
      <c r="E266" s="2">
        <v>1</v>
      </c>
      <c r="F266" s="2">
        <v>1</v>
      </c>
      <c r="G266" s="2">
        <v>1</v>
      </c>
      <c r="H266" s="4"/>
      <c r="I266" s="4"/>
      <c r="J266" s="4"/>
      <c r="K266" s="4"/>
      <c r="L266" s="4"/>
    </row>
    <row r="267" spans="1:12" x14ac:dyDescent="0.15">
      <c r="A267" s="2" t="str">
        <f>HYPERLINK("./new_k5/query_cmdrels_weight_analyze/0.4_0.3_0.3/so_3667329.xlsx","so_3667329")</f>
        <v>so_3667329</v>
      </c>
      <c r="B267" s="2">
        <v>0.33333333333333331</v>
      </c>
      <c r="C267" s="2">
        <v>0.33333333333333331</v>
      </c>
      <c r="D267" s="2">
        <v>0.33333333333333331</v>
      </c>
      <c r="E267" s="2">
        <v>0.33333333333333331</v>
      </c>
      <c r="F267" s="2">
        <v>0.33333333333333331</v>
      </c>
      <c r="G267" s="2">
        <v>0.5</v>
      </c>
      <c r="H267" s="4"/>
      <c r="I267" s="4"/>
      <c r="J267" s="4"/>
      <c r="K267" s="4"/>
      <c r="L267" s="4"/>
    </row>
    <row r="268" spans="1:12" x14ac:dyDescent="0.15">
      <c r="A268" s="2" t="str">
        <f>HYPERLINK("./new_k5/query_cmdrels_weight_analyze/0.4_0.3_0.3/so_369758.xlsx","so_369758")</f>
        <v>so_369758</v>
      </c>
      <c r="B268" s="2">
        <v>0.2</v>
      </c>
      <c r="C268" s="2">
        <v>0.2</v>
      </c>
      <c r="D268" s="2">
        <v>0.4</v>
      </c>
      <c r="E268" s="2">
        <v>0.33333333333333331</v>
      </c>
      <c r="F268" s="2">
        <v>0.4</v>
      </c>
      <c r="G268" s="2">
        <v>0.48333333333333328</v>
      </c>
      <c r="H268" s="4"/>
      <c r="I268" s="4"/>
      <c r="J268" s="4"/>
      <c r="K268" s="4"/>
      <c r="L268" s="4"/>
    </row>
    <row r="269" spans="1:12" x14ac:dyDescent="0.15">
      <c r="A269" s="2" t="str">
        <f>HYPERLINK("./new_k5/query_cmdrels_weight_analyze/0.4_0.3_0.3/so_3756323.xlsx","so_3756323")</f>
        <v>so_3756323</v>
      </c>
      <c r="B269" s="2">
        <v>0</v>
      </c>
      <c r="C269" s="2">
        <v>0.5</v>
      </c>
      <c r="D269" s="2">
        <v>0.16666666666666671</v>
      </c>
      <c r="E269" s="2">
        <v>0.5</v>
      </c>
      <c r="F269" s="2">
        <v>0.16666666666666671</v>
      </c>
      <c r="G269" s="2">
        <v>0.7</v>
      </c>
      <c r="H269" s="4"/>
      <c r="I269" s="4"/>
      <c r="J269" s="4"/>
      <c r="K269" s="4"/>
      <c r="L269" s="4"/>
    </row>
    <row r="270" spans="1:12" x14ac:dyDescent="0.15">
      <c r="A270" s="2" t="str">
        <f>HYPERLINK("./new_k5/query_cmdrels_weight_analyze/0.4_0.3_0.3/so_3767267.xlsx","so_3767267")</f>
        <v>so_3767267</v>
      </c>
      <c r="B270" s="2">
        <v>0</v>
      </c>
      <c r="C270" s="2">
        <v>0</v>
      </c>
      <c r="D270" s="2">
        <v>6.6666666666666666E-2</v>
      </c>
      <c r="E270" s="2">
        <v>0.1</v>
      </c>
      <c r="F270" s="2">
        <v>6.6666666666666666E-2</v>
      </c>
      <c r="G270" s="2">
        <v>0.1</v>
      </c>
      <c r="H270" s="4"/>
      <c r="I270" s="4"/>
      <c r="J270" s="4"/>
      <c r="K270" s="4"/>
      <c r="L270" s="4"/>
    </row>
    <row r="271" spans="1:12" x14ac:dyDescent="0.15">
      <c r="A271" s="2" t="str">
        <f>HYPERLINK("./new_k5/query_cmdrels_weight_analyze/0.4_0.3_0.3/so_3833578.xlsx","so_3833578")</f>
        <v>so_3833578</v>
      </c>
      <c r="B271" s="2">
        <v>0.33333333333333331</v>
      </c>
      <c r="C271" s="2">
        <v>0.33333333333333331</v>
      </c>
      <c r="D271" s="2">
        <v>0.33333333333333331</v>
      </c>
      <c r="E271" s="2">
        <v>0.66666666666666663</v>
      </c>
      <c r="F271" s="2">
        <v>0.33333333333333331</v>
      </c>
      <c r="G271" s="2">
        <v>0.66666666666666663</v>
      </c>
      <c r="H271" s="4"/>
      <c r="I271" s="4"/>
      <c r="J271" s="4"/>
      <c r="K271" s="4"/>
      <c r="L271" s="4"/>
    </row>
    <row r="272" spans="1:12" x14ac:dyDescent="0.15">
      <c r="A272" s="2" t="str">
        <f>HYPERLINK("./new_k5/query_cmdrels_weight_analyze/0.4_0.3_0.3/so_3891076.xlsx","so_3891076")</f>
        <v>so_3891076</v>
      </c>
      <c r="B272" s="2">
        <v>0.25</v>
      </c>
      <c r="C272" s="2">
        <v>0.25</v>
      </c>
      <c r="D272" s="2">
        <v>0.25</v>
      </c>
      <c r="E272" s="2">
        <v>0.25</v>
      </c>
      <c r="F272" s="2">
        <v>0.25</v>
      </c>
      <c r="G272" s="2">
        <v>0.52500000000000002</v>
      </c>
      <c r="H272" s="4"/>
      <c r="I272" s="4"/>
      <c r="J272" s="4"/>
      <c r="K272" s="4"/>
      <c r="L272" s="4"/>
    </row>
    <row r="273" spans="1:12" x14ac:dyDescent="0.15">
      <c r="A273" s="2" t="str">
        <f>HYPERLINK("./new_k5/query_cmdrels_weight_analyze/0.4_0.3_0.3/so_3963085.xlsx","so_3963085")</f>
        <v>so_3963085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4"/>
      <c r="I273" s="4"/>
      <c r="J273" s="4"/>
      <c r="K273" s="4"/>
      <c r="L273" s="4"/>
    </row>
    <row r="274" spans="1:12" x14ac:dyDescent="0.15">
      <c r="A274" s="2" t="str">
        <f>HYPERLINK("./new_k5/query_cmdrels_weight_analyze/0.4_0.3_0.3/so_4325216.xlsx","so_4325216")</f>
        <v>so_4325216</v>
      </c>
      <c r="B274" s="2">
        <v>0.5</v>
      </c>
      <c r="C274" s="2">
        <v>0.5</v>
      </c>
      <c r="D274" s="2">
        <v>0.5</v>
      </c>
      <c r="E274" s="2">
        <v>1</v>
      </c>
      <c r="F274" s="2">
        <v>0.5</v>
      </c>
      <c r="G274" s="2">
        <v>1</v>
      </c>
      <c r="H274" s="4"/>
      <c r="I274" s="4"/>
      <c r="J274" s="4"/>
      <c r="K274" s="4"/>
      <c r="L274" s="4"/>
    </row>
    <row r="275" spans="1:12" x14ac:dyDescent="0.15">
      <c r="A275" s="2" t="str">
        <f>HYPERLINK("./new_k5/query_cmdrels_weight_analyze/0.4_0.3_0.3/so_448005.xlsx","so_448005")</f>
        <v>so_448005</v>
      </c>
      <c r="B275" s="2">
        <v>1</v>
      </c>
      <c r="C275" s="2">
        <v>1</v>
      </c>
      <c r="D275" s="2">
        <v>1</v>
      </c>
      <c r="E275" s="2">
        <v>1</v>
      </c>
      <c r="F275" s="2">
        <v>1</v>
      </c>
      <c r="G275" s="2">
        <v>1</v>
      </c>
      <c r="H275" s="4"/>
      <c r="I275" s="4"/>
      <c r="J275" s="4"/>
      <c r="K275" s="4"/>
      <c r="L275" s="4"/>
    </row>
    <row r="276" spans="1:12" x14ac:dyDescent="0.15">
      <c r="A276" s="2" t="str">
        <f>HYPERLINK("./new_k5/query_cmdrels_weight_analyze/0.4_0.3_0.3/so_4921879.xlsx","so_4921879")</f>
        <v>so_4921879</v>
      </c>
      <c r="B276" s="2">
        <v>0.14285714285714279</v>
      </c>
      <c r="C276" s="2">
        <v>0.14285714285714279</v>
      </c>
      <c r="D276" s="2">
        <v>0.42857142857142849</v>
      </c>
      <c r="E276" s="2">
        <v>0.2857142857142857</v>
      </c>
      <c r="F276" s="2">
        <v>0.5714285714285714</v>
      </c>
      <c r="G276" s="2">
        <v>0.50714285714285712</v>
      </c>
      <c r="H276" s="4"/>
      <c r="I276" s="4"/>
      <c r="J276" s="4"/>
      <c r="K276" s="4"/>
      <c r="L276" s="4"/>
    </row>
    <row r="277" spans="1:12" x14ac:dyDescent="0.15">
      <c r="A277" s="2" t="str">
        <f>HYPERLINK("./new_k5/query_cmdrels_weight_analyze/0.4_0.3_0.3/so_4922943.xlsx","so_4922943")</f>
        <v>so_4922943</v>
      </c>
      <c r="B277" s="2">
        <v>0.2</v>
      </c>
      <c r="C277" s="2">
        <v>0.2</v>
      </c>
      <c r="D277" s="2">
        <v>0.33333333333333331</v>
      </c>
      <c r="E277" s="2">
        <v>0.33333333333333331</v>
      </c>
      <c r="F277" s="2">
        <v>0.33333333333333331</v>
      </c>
      <c r="G277" s="2">
        <v>0.33333333333333331</v>
      </c>
      <c r="H277" s="4"/>
      <c r="I277" s="4"/>
      <c r="J277" s="4"/>
      <c r="K277" s="4"/>
      <c r="L277" s="4"/>
    </row>
    <row r="278" spans="1:12" x14ac:dyDescent="0.15">
      <c r="A278" s="2" t="str">
        <f>HYPERLINK("./new_k5/query_cmdrels_weight_analyze/0.4_0.3_0.3/so_5119946.xlsx","so_5119946")</f>
        <v>so_5119946</v>
      </c>
      <c r="B278" s="2">
        <v>0.5</v>
      </c>
      <c r="C278" s="2">
        <v>0</v>
      </c>
      <c r="D278" s="2">
        <v>0.5</v>
      </c>
      <c r="E278" s="2">
        <v>0.58333333333333326</v>
      </c>
      <c r="F278" s="2">
        <v>0.5</v>
      </c>
      <c r="G278" s="2">
        <v>0.58333333333333326</v>
      </c>
      <c r="H278" s="4"/>
      <c r="I278" s="4"/>
      <c r="J278" s="4"/>
      <c r="K278" s="4"/>
      <c r="L278" s="4"/>
    </row>
    <row r="279" spans="1:12" x14ac:dyDescent="0.15">
      <c r="A279" s="2" t="str">
        <f>HYPERLINK("./new_k5/query_cmdrels_weight_analyze/0.4_0.3_0.3/so_5164985.xlsx","so_5164985")</f>
        <v>so_5164985</v>
      </c>
      <c r="B279" s="2">
        <v>0</v>
      </c>
      <c r="C279" s="2">
        <v>0</v>
      </c>
      <c r="D279" s="2">
        <v>0</v>
      </c>
      <c r="E279" s="2">
        <v>0.16666666666666671</v>
      </c>
      <c r="F279" s="2">
        <v>0</v>
      </c>
      <c r="G279" s="2">
        <v>0.16666666666666671</v>
      </c>
      <c r="H279" s="4"/>
      <c r="I279" s="4"/>
      <c r="J279" s="4"/>
      <c r="K279" s="4"/>
      <c r="L279" s="4"/>
    </row>
    <row r="280" spans="1:12" x14ac:dyDescent="0.15">
      <c r="A280" s="2" t="str">
        <f>HYPERLINK("./new_k5/query_cmdrels_weight_analyze/0.4_0.3_0.3/so_5306153.xlsx","so_5306153")</f>
        <v>so_5306153</v>
      </c>
      <c r="B280" s="2">
        <v>0</v>
      </c>
      <c r="C280" s="2">
        <v>1</v>
      </c>
      <c r="D280" s="2">
        <v>0</v>
      </c>
      <c r="E280" s="2">
        <v>1</v>
      </c>
      <c r="F280" s="2">
        <v>0</v>
      </c>
      <c r="G280" s="2">
        <v>1</v>
      </c>
      <c r="H280" s="4"/>
      <c r="I280" s="4"/>
      <c r="J280" s="4"/>
      <c r="K280" s="4"/>
      <c r="L280" s="4"/>
    </row>
    <row r="281" spans="1:12" x14ac:dyDescent="0.15">
      <c r="A281" s="2" t="str">
        <f>HYPERLINK("./new_k5/query_cmdrels_weight_analyze/0.4_0.3_0.3/so_5566310.xlsx","so_5566310")</f>
        <v>so_5566310</v>
      </c>
      <c r="B281" s="2">
        <v>0.5</v>
      </c>
      <c r="C281" s="2">
        <v>0.5</v>
      </c>
      <c r="D281" s="2">
        <v>0.5</v>
      </c>
      <c r="E281" s="2">
        <v>0.5</v>
      </c>
      <c r="F281" s="2">
        <v>0.5</v>
      </c>
      <c r="G281" s="2">
        <v>0.5</v>
      </c>
      <c r="H281" s="4"/>
      <c r="I281" s="4"/>
      <c r="J281" s="4"/>
      <c r="K281" s="4"/>
      <c r="L281" s="4"/>
    </row>
    <row r="282" spans="1:12" x14ac:dyDescent="0.15">
      <c r="A282" s="2" t="str">
        <f>HYPERLINK("./new_k5/query_cmdrels_weight_analyze/0.4_0.3_0.3/so_5927369.xlsx","so_5927369")</f>
        <v>so_5927369</v>
      </c>
      <c r="B282" s="2">
        <v>1</v>
      </c>
      <c r="C282" s="2">
        <v>1</v>
      </c>
      <c r="D282" s="2">
        <v>1</v>
      </c>
      <c r="E282" s="2">
        <v>1</v>
      </c>
      <c r="F282" s="2">
        <v>1</v>
      </c>
      <c r="G282" s="2">
        <v>1</v>
      </c>
      <c r="H282" s="4"/>
      <c r="I282" s="4"/>
      <c r="J282" s="4"/>
      <c r="K282" s="4"/>
      <c r="L282" s="4"/>
    </row>
    <row r="283" spans="1:12" x14ac:dyDescent="0.15">
      <c r="A283" s="2" t="str">
        <f>HYPERLINK("./new_k5/query_cmdrels_weight_analyze/0.4_0.3_0.3/so_5947742.xlsx","so_5947742")</f>
        <v>so_5947742</v>
      </c>
      <c r="B283" s="2">
        <v>0.33333333333333331</v>
      </c>
      <c r="C283" s="2">
        <v>0.33333333333333331</v>
      </c>
      <c r="D283" s="2">
        <v>0.55555555555555547</v>
      </c>
      <c r="E283" s="2">
        <v>0.33333333333333331</v>
      </c>
      <c r="F283" s="2">
        <v>0.55555555555555547</v>
      </c>
      <c r="G283" s="2">
        <v>0.5</v>
      </c>
      <c r="H283" s="4"/>
      <c r="I283" s="4"/>
      <c r="J283" s="4"/>
      <c r="K283" s="4"/>
      <c r="L283" s="4"/>
    </row>
    <row r="284" spans="1:12" x14ac:dyDescent="0.15">
      <c r="A284" s="2" t="str">
        <f>HYPERLINK("./new_k5/query_cmdrels_weight_analyze/0.4_0.3_0.3/so_614795.xlsx","so_614795")</f>
        <v>so_614795</v>
      </c>
      <c r="B284" s="2">
        <v>0</v>
      </c>
      <c r="C284" s="2">
        <v>0.33333333333333331</v>
      </c>
      <c r="D284" s="2">
        <v>0</v>
      </c>
      <c r="E284" s="2">
        <v>0.33333333333333331</v>
      </c>
      <c r="F284" s="2">
        <v>0</v>
      </c>
      <c r="G284" s="2">
        <v>0.33333333333333331</v>
      </c>
      <c r="H284" s="4"/>
      <c r="I284" s="4"/>
      <c r="J284" s="4"/>
      <c r="K284" s="4"/>
      <c r="L284" s="4"/>
    </row>
    <row r="285" spans="1:12" x14ac:dyDescent="0.15">
      <c r="A285" s="2" t="str">
        <f>HYPERLINK("./new_k5/query_cmdrels_weight_analyze/0.4_0.3_0.3/so_6207573.xlsx","so_6207573")</f>
        <v>so_6207573</v>
      </c>
      <c r="B285" s="2">
        <v>0.14285714285714279</v>
      </c>
      <c r="C285" s="2">
        <v>0.14285714285714279</v>
      </c>
      <c r="D285" s="2">
        <v>0.2857142857142857</v>
      </c>
      <c r="E285" s="2">
        <v>0.42857142857142849</v>
      </c>
      <c r="F285" s="2">
        <v>0.37142857142857139</v>
      </c>
      <c r="G285" s="2">
        <v>0.42857142857142849</v>
      </c>
      <c r="H285" s="4"/>
      <c r="I285" s="4"/>
      <c r="J285" s="4"/>
      <c r="K285" s="4"/>
      <c r="L285" s="4"/>
    </row>
    <row r="286" spans="1:12" x14ac:dyDescent="0.15">
      <c r="A286" s="2" t="str">
        <f>HYPERLINK("./new_k5/query_cmdrels_weight_analyze/0.4_0.3_0.3/so_6283167.xlsx","so_6283167")</f>
        <v>so_6283167</v>
      </c>
      <c r="B286" s="2">
        <v>0.25</v>
      </c>
      <c r="C286" s="2">
        <v>0.25</v>
      </c>
      <c r="D286" s="2">
        <v>0.25</v>
      </c>
      <c r="E286" s="2">
        <v>0.5</v>
      </c>
      <c r="F286" s="2">
        <v>0.25</v>
      </c>
      <c r="G286" s="2">
        <v>0.5</v>
      </c>
      <c r="H286" s="4"/>
      <c r="I286" s="4"/>
      <c r="J286" s="4"/>
      <c r="K286" s="4"/>
      <c r="L286" s="4"/>
    </row>
    <row r="287" spans="1:12" x14ac:dyDescent="0.15">
      <c r="A287" s="2" t="str">
        <f>HYPERLINK("./new_k5/query_cmdrels_weight_analyze/0.4_0.3_0.3/so_6329505.xlsx","so_6329505")</f>
        <v>so_6329505</v>
      </c>
      <c r="B287" s="2">
        <v>0</v>
      </c>
      <c r="C287" s="2">
        <v>0</v>
      </c>
      <c r="D287" s="2">
        <v>0.1</v>
      </c>
      <c r="E287" s="2">
        <v>0.1</v>
      </c>
      <c r="F287" s="2">
        <v>0.18</v>
      </c>
      <c r="G287" s="2">
        <v>0.1</v>
      </c>
      <c r="H287" s="4"/>
      <c r="I287" s="4"/>
      <c r="J287" s="4"/>
      <c r="K287" s="4"/>
      <c r="L287" s="4"/>
    </row>
    <row r="288" spans="1:12" x14ac:dyDescent="0.15">
      <c r="A288" s="2" t="str">
        <f>HYPERLINK("./new_k5/query_cmdrels_weight_analyze/0.4_0.3_0.3/so_6423532.xlsx","so_6423532")</f>
        <v>so_6423532</v>
      </c>
      <c r="B288" s="2">
        <v>0.5</v>
      </c>
      <c r="C288" s="2">
        <v>0.5</v>
      </c>
      <c r="D288" s="2">
        <v>0.5</v>
      </c>
      <c r="E288" s="2">
        <v>0.5</v>
      </c>
      <c r="F288" s="2">
        <v>0.5</v>
      </c>
      <c r="G288" s="2">
        <v>0.5</v>
      </c>
      <c r="H288" s="4"/>
      <c r="I288" s="4"/>
      <c r="J288" s="4"/>
      <c r="K288" s="4"/>
      <c r="L288" s="4"/>
    </row>
    <row r="289" spans="1:12" x14ac:dyDescent="0.15">
      <c r="A289" s="2" t="str">
        <f>HYPERLINK("./new_k5/query_cmdrels_weight_analyze/0.4_0.3_0.3/so_669438.xlsx","so_669438")</f>
        <v>so_669438</v>
      </c>
      <c r="B289" s="2">
        <v>0.2</v>
      </c>
      <c r="C289" s="2">
        <v>0.2</v>
      </c>
      <c r="D289" s="2">
        <v>0.6</v>
      </c>
      <c r="E289" s="2">
        <v>0.33333333333333331</v>
      </c>
      <c r="F289" s="2">
        <v>0.6</v>
      </c>
      <c r="G289" s="2">
        <v>0.33333333333333331</v>
      </c>
      <c r="H289" s="4"/>
      <c r="I289" s="4"/>
      <c r="J289" s="4"/>
      <c r="K289" s="4"/>
      <c r="L289" s="4"/>
    </row>
    <row r="290" spans="1:12" x14ac:dyDescent="0.15">
      <c r="A290" s="2" t="str">
        <f>HYPERLINK("./new_k5/query_cmdrels_weight_analyze/0.4_0.3_0.3/so_7052875.xlsx","so_7052875")</f>
        <v>so_7052875</v>
      </c>
      <c r="B290" s="2">
        <v>0.2</v>
      </c>
      <c r="C290" s="2">
        <v>0</v>
      </c>
      <c r="D290" s="2">
        <v>0.2</v>
      </c>
      <c r="E290" s="2">
        <v>0.1</v>
      </c>
      <c r="F290" s="2">
        <v>0.2</v>
      </c>
      <c r="G290" s="2">
        <v>0.18</v>
      </c>
      <c r="H290" s="4"/>
      <c r="I290" s="4"/>
      <c r="J290" s="4"/>
      <c r="K290" s="4"/>
      <c r="L290" s="4"/>
    </row>
    <row r="291" spans="1:12" x14ac:dyDescent="0.15">
      <c r="A291" s="2" t="str">
        <f>HYPERLINK("./new_k5/query_cmdrels_weight_analyze/0.4_0.3_0.3/so_7221757.xlsx","so_7221757")</f>
        <v>so_7221757</v>
      </c>
      <c r="B291" s="2">
        <v>0.2</v>
      </c>
      <c r="C291" s="2">
        <v>0.2</v>
      </c>
      <c r="D291" s="2">
        <v>0.2</v>
      </c>
      <c r="E291" s="2">
        <v>0.4</v>
      </c>
      <c r="F291" s="2">
        <v>0.2</v>
      </c>
      <c r="G291" s="2">
        <v>0.4</v>
      </c>
      <c r="H291" s="4"/>
      <c r="I291" s="4"/>
      <c r="J291" s="4"/>
      <c r="K291" s="4"/>
      <c r="L291" s="4"/>
    </row>
    <row r="292" spans="1:12" x14ac:dyDescent="0.15">
      <c r="A292" s="2" t="str">
        <f>HYPERLINK("./new_k5/query_cmdrels_weight_analyze/0.4_0.3_0.3/so_750604.xlsx","so_750604")</f>
        <v>so_750604</v>
      </c>
      <c r="B292" s="2">
        <v>0</v>
      </c>
      <c r="C292" s="2">
        <v>0</v>
      </c>
      <c r="D292" s="2">
        <v>0.1111111111111111</v>
      </c>
      <c r="E292" s="2">
        <v>0.16666666666666671</v>
      </c>
      <c r="F292" s="2">
        <v>0.1111111111111111</v>
      </c>
      <c r="G292" s="2">
        <v>0.33333333333333331</v>
      </c>
      <c r="H292" s="4"/>
      <c r="I292" s="4"/>
      <c r="J292" s="4"/>
      <c r="K292" s="4"/>
      <c r="L292" s="4"/>
    </row>
    <row r="293" spans="1:12" x14ac:dyDescent="0.15">
      <c r="A293" s="2" t="str">
        <f>HYPERLINK("./new_k5/query_cmdrels_weight_analyze/0.4_0.3_0.3/so_7575267.xlsx","so_7575267")</f>
        <v>so_7575267</v>
      </c>
      <c r="B293" s="2">
        <v>0</v>
      </c>
      <c r="C293" s="2">
        <v>0.25</v>
      </c>
      <c r="D293" s="2">
        <v>0</v>
      </c>
      <c r="E293" s="2">
        <v>0.75</v>
      </c>
      <c r="F293" s="2">
        <v>0</v>
      </c>
      <c r="G293" s="2">
        <v>0.75</v>
      </c>
      <c r="H293" s="4"/>
      <c r="I293" s="4"/>
      <c r="J293" s="4"/>
      <c r="K293" s="4"/>
      <c r="L293" s="4"/>
    </row>
    <row r="294" spans="1:12" x14ac:dyDescent="0.15">
      <c r="A294" s="2" t="str">
        <f>HYPERLINK("./new_k5/query_cmdrels_weight_analyze/0.4_0.3_0.3/so_7698488.xlsx","so_7698488")</f>
        <v>so_7698488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0.16250000000000001</v>
      </c>
      <c r="H294" s="4"/>
      <c r="I294" s="4"/>
      <c r="J294" s="4"/>
      <c r="K294" s="4"/>
      <c r="L294" s="4"/>
    </row>
    <row r="295" spans="1:12" x14ac:dyDescent="0.15">
      <c r="A295" s="2" t="str">
        <f>HYPERLINK("./new_k5/query_cmdrels_weight_analyze/0.4_0.3_0.3/so_801095.xlsx","so_801095")</f>
        <v>so_801095</v>
      </c>
      <c r="B295" s="2">
        <v>0.33333333333333331</v>
      </c>
      <c r="C295" s="2">
        <v>0.33333333333333331</v>
      </c>
      <c r="D295" s="2">
        <v>0.33333333333333331</v>
      </c>
      <c r="E295" s="2">
        <v>0.33333333333333331</v>
      </c>
      <c r="F295" s="2">
        <v>0.33333333333333331</v>
      </c>
      <c r="G295" s="2">
        <v>0.5</v>
      </c>
      <c r="H295" s="4"/>
      <c r="I295" s="4"/>
      <c r="J295" s="4"/>
      <c r="K295" s="4"/>
      <c r="L295" s="4"/>
    </row>
    <row r="296" spans="1:12" x14ac:dyDescent="0.15">
      <c r="A296" s="2" t="str">
        <f>HYPERLINK("./new_k5/query_cmdrels_weight_analyze/0.4_0.3_0.3/so_8249705.xlsx","so_8249705")</f>
        <v>so_8249705</v>
      </c>
      <c r="B296" s="2">
        <v>0.5</v>
      </c>
      <c r="C296" s="2">
        <v>0.5</v>
      </c>
      <c r="D296" s="2">
        <v>0.83333333333333326</v>
      </c>
      <c r="E296" s="2">
        <v>1</v>
      </c>
      <c r="F296" s="2">
        <v>0.83333333333333326</v>
      </c>
      <c r="G296" s="2">
        <v>1</v>
      </c>
      <c r="H296" s="4"/>
      <c r="I296" s="4"/>
      <c r="J296" s="4"/>
      <c r="K296" s="4"/>
      <c r="L296" s="4"/>
    </row>
    <row r="297" spans="1:12" x14ac:dyDescent="0.15">
      <c r="A297" s="2" t="str">
        <f>HYPERLINK("./new_k5/query_cmdrels_weight_analyze/0.4_0.3_0.3/so_8423541.xlsx","so_8423541")</f>
        <v>so_8423541</v>
      </c>
      <c r="B297" s="2">
        <v>0.33333333333333331</v>
      </c>
      <c r="C297" s="2">
        <v>0.33333333333333331</v>
      </c>
      <c r="D297" s="2">
        <v>0.33333333333333331</v>
      </c>
      <c r="E297" s="2">
        <v>0.66666666666666663</v>
      </c>
      <c r="F297" s="2">
        <v>0.33333333333333331</v>
      </c>
      <c r="G297" s="2">
        <v>0.66666666666666663</v>
      </c>
      <c r="H297" s="4"/>
      <c r="I297" s="4"/>
      <c r="J297" s="4"/>
      <c r="K297" s="4"/>
      <c r="L297" s="4"/>
    </row>
    <row r="298" spans="1:12" x14ac:dyDescent="0.15">
      <c r="A298" s="2" t="str">
        <f>HYPERLINK("./new_k5/query_cmdrels_weight_analyze/0.4_0.3_0.3/so_8654051.xlsx","so_8654051")</f>
        <v>so_8654051</v>
      </c>
      <c r="B298" s="2">
        <v>0</v>
      </c>
      <c r="C298" s="2">
        <v>0.25</v>
      </c>
      <c r="D298" s="2">
        <v>0.125</v>
      </c>
      <c r="E298" s="2">
        <v>0.5</v>
      </c>
      <c r="F298" s="2">
        <v>0.125</v>
      </c>
      <c r="G298" s="2">
        <v>0.6875</v>
      </c>
      <c r="H298" s="4"/>
      <c r="I298" s="4"/>
      <c r="J298" s="4"/>
      <c r="K298" s="4"/>
      <c r="L298" s="4"/>
    </row>
    <row r="299" spans="1:12" x14ac:dyDescent="0.15">
      <c r="A299" s="2" t="str">
        <f>HYPERLINK("./new_k5/query_cmdrels_weight_analyze/0.4_0.3_0.3/so_890262.xlsx","so_890262")</f>
        <v>so_890262</v>
      </c>
      <c r="B299" s="2">
        <v>0</v>
      </c>
      <c r="C299" s="2">
        <v>0</v>
      </c>
      <c r="D299" s="2">
        <v>0</v>
      </c>
      <c r="E299" s="2">
        <v>0.38888888888888878</v>
      </c>
      <c r="F299" s="2">
        <v>0</v>
      </c>
      <c r="G299" s="2">
        <v>0.38888888888888878</v>
      </c>
      <c r="H299" s="4"/>
      <c r="I299" s="4"/>
      <c r="J299" s="4"/>
      <c r="K299" s="4"/>
      <c r="L299" s="4"/>
    </row>
    <row r="300" spans="1:12" x14ac:dyDescent="0.15">
      <c r="A300" s="2" t="str">
        <f>HYPERLINK("./new_k5/query_cmdrels_weight_analyze/0.4_0.3_0.3/so_893585.xlsx","so_893585")</f>
        <v>so_893585</v>
      </c>
      <c r="B300" s="2">
        <v>0.14285714285714279</v>
      </c>
      <c r="C300" s="2">
        <v>0.14285714285714279</v>
      </c>
      <c r="D300" s="2">
        <v>0.14285714285714279</v>
      </c>
      <c r="E300" s="2">
        <v>0.42857142857142849</v>
      </c>
      <c r="F300" s="2">
        <v>0.14285714285714279</v>
      </c>
      <c r="G300" s="2">
        <v>0.42857142857142849</v>
      </c>
      <c r="H300" s="4"/>
      <c r="I300" s="4"/>
      <c r="J300" s="4"/>
      <c r="K300" s="4"/>
      <c r="L300" s="4"/>
    </row>
    <row r="301" spans="1:12" x14ac:dyDescent="0.15">
      <c r="A301" s="2" t="str">
        <f>HYPERLINK("./new_k5/query_cmdrels_weight_analyze/0.4_0.3_0.3/so_9223460.xlsx","so_9223460")</f>
        <v>so_9223460</v>
      </c>
      <c r="B301" s="2">
        <v>0.33333333333333331</v>
      </c>
      <c r="C301" s="2">
        <v>0</v>
      </c>
      <c r="D301" s="2">
        <v>0.33333333333333331</v>
      </c>
      <c r="E301" s="2">
        <v>0.16666666666666671</v>
      </c>
      <c r="F301" s="2">
        <v>0.33333333333333331</v>
      </c>
      <c r="G301" s="2">
        <v>0.33333333333333331</v>
      </c>
      <c r="H301" s="4"/>
      <c r="I301" s="4"/>
      <c r="J301" s="4"/>
      <c r="K301" s="4"/>
      <c r="L301" s="4"/>
    </row>
    <row r="302" spans="1:12" x14ac:dyDescent="0.15">
      <c r="A302" s="2" t="str">
        <f>HYPERLINK("./new_k5/query_cmdrels_weight_analyze/0.4_0.3_0.3/so_9245638.xlsx","so_9245638")</f>
        <v>so_9245638</v>
      </c>
      <c r="B302" s="2">
        <v>0.33333333333333331</v>
      </c>
      <c r="C302" s="2">
        <v>0.33333333333333331</v>
      </c>
      <c r="D302" s="2">
        <v>0.55555555555555547</v>
      </c>
      <c r="E302" s="2">
        <v>0.33333333333333331</v>
      </c>
      <c r="F302" s="2">
        <v>0.55555555555555547</v>
      </c>
      <c r="G302" s="2">
        <v>0.5</v>
      </c>
      <c r="H302" s="4"/>
      <c r="I302" s="4"/>
      <c r="J302" s="4"/>
      <c r="K302" s="4"/>
      <c r="L302" s="4"/>
    </row>
    <row r="303" spans="1:12" x14ac:dyDescent="0.15">
      <c r="A303" s="2" t="str">
        <f>HYPERLINK("./new_k5/query_cmdrels_weight_analyze/0.4_0.3_0.3/so_9304953.xlsx","so_9304953")</f>
        <v>so_9304953</v>
      </c>
      <c r="B303" s="2">
        <v>0.2</v>
      </c>
      <c r="C303" s="2">
        <v>0.2</v>
      </c>
      <c r="D303" s="2">
        <v>0.6</v>
      </c>
      <c r="E303" s="2">
        <v>0.6</v>
      </c>
      <c r="F303" s="2">
        <v>0.6</v>
      </c>
      <c r="G303" s="2">
        <v>0.8</v>
      </c>
      <c r="H303" s="4"/>
      <c r="I303" s="4"/>
      <c r="J303" s="4"/>
      <c r="K303" s="4"/>
      <c r="L303" s="4"/>
    </row>
    <row r="304" spans="1:12" x14ac:dyDescent="0.15">
      <c r="A304" s="2" t="str">
        <f>HYPERLINK("./new_k5/query_cmdrels_weight_analyze/0.4_0.3_0.3/so_9361816.xlsx","so_9361816")</f>
        <v>so_9361816</v>
      </c>
      <c r="B304" s="2">
        <v>0</v>
      </c>
      <c r="C304" s="2">
        <v>0</v>
      </c>
      <c r="D304" s="2">
        <v>0.33333333333333331</v>
      </c>
      <c r="E304" s="2">
        <v>0</v>
      </c>
      <c r="F304" s="2">
        <v>0.33333333333333331</v>
      </c>
      <c r="G304" s="2">
        <v>0</v>
      </c>
      <c r="H304" s="4"/>
      <c r="I304" s="4"/>
      <c r="J304" s="4"/>
      <c r="K304" s="4"/>
      <c r="L304" s="4"/>
    </row>
    <row r="305" spans="1:12" x14ac:dyDescent="0.15">
      <c r="A305" s="2" t="str">
        <f>HYPERLINK("./new_k5/query_cmdrels_weight_analyze/0.4_0.3_0.3/su_116617.xlsx","su_116617")</f>
        <v>su_116617</v>
      </c>
      <c r="B305" s="2">
        <v>0</v>
      </c>
      <c r="C305" s="2">
        <v>0.33333333333333331</v>
      </c>
      <c r="D305" s="2">
        <v>0</v>
      </c>
      <c r="E305" s="2">
        <v>0.33333333333333331</v>
      </c>
      <c r="F305" s="2">
        <v>8.3333333333333329E-2</v>
      </c>
      <c r="G305" s="2">
        <v>0.33333333333333331</v>
      </c>
      <c r="H305" s="4"/>
      <c r="I305" s="4"/>
      <c r="J305" s="4"/>
      <c r="K305" s="4"/>
      <c r="L305" s="4"/>
    </row>
    <row r="306" spans="1:12" x14ac:dyDescent="0.15">
      <c r="A306" s="2" t="str">
        <f>HYPERLINK("./new_k5/query_cmdrels_weight_analyze/0.4_0.3_0.3/su_120045.xlsx","su_120045")</f>
        <v>su_120045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0.2</v>
      </c>
      <c r="H306" s="4"/>
      <c r="I306" s="4"/>
      <c r="J306" s="4"/>
      <c r="K306" s="4"/>
      <c r="L306" s="4"/>
    </row>
    <row r="307" spans="1:12" x14ac:dyDescent="0.15">
      <c r="A307" s="2" t="str">
        <f>HYPERLINK("./new_k5/query_cmdrels_weight_analyze/0.4_0.3_0.3/su_127863.xlsx","su_127863")</f>
        <v>su_127863</v>
      </c>
      <c r="B307" s="2">
        <v>0</v>
      </c>
      <c r="C307" s="2">
        <v>0</v>
      </c>
      <c r="D307" s="2">
        <v>0.25</v>
      </c>
      <c r="E307" s="2">
        <v>0.25</v>
      </c>
      <c r="F307" s="2">
        <v>0.25</v>
      </c>
      <c r="G307" s="2">
        <v>0.45</v>
      </c>
      <c r="H307" s="4"/>
      <c r="I307" s="4"/>
      <c r="J307" s="4"/>
      <c r="K307" s="4"/>
      <c r="L307" s="4"/>
    </row>
    <row r="308" spans="1:12" x14ac:dyDescent="0.15">
      <c r="A308" s="2" t="str">
        <f>HYPERLINK("./new_k5/query_cmdrels_weight_analyze/0.4_0.3_0.3/su_135498.xlsx","su_135498")</f>
        <v>su_135498</v>
      </c>
      <c r="B308" s="2">
        <v>0</v>
      </c>
      <c r="C308" s="2">
        <v>0</v>
      </c>
      <c r="D308" s="2">
        <v>0.5</v>
      </c>
      <c r="E308" s="2">
        <v>0</v>
      </c>
      <c r="F308" s="2">
        <v>0.5</v>
      </c>
      <c r="G308" s="2">
        <v>0</v>
      </c>
      <c r="H308" s="4"/>
      <c r="I308" s="4"/>
      <c r="J308" s="4"/>
      <c r="K308" s="4"/>
      <c r="L308" s="4"/>
    </row>
    <row r="309" spans="1:12" x14ac:dyDescent="0.15">
      <c r="A309" s="2" t="str">
        <f>HYPERLINK("./new_k5/query_cmdrels_weight_analyze/0.4_0.3_0.3/su_147027.xlsx","su_147027")</f>
        <v>su_147027</v>
      </c>
      <c r="B309" s="2">
        <v>0</v>
      </c>
      <c r="C309" s="2">
        <v>0</v>
      </c>
      <c r="D309" s="2">
        <v>0.33333333333333331</v>
      </c>
      <c r="E309" s="2">
        <v>0</v>
      </c>
      <c r="F309" s="2">
        <v>0.33333333333333331</v>
      </c>
      <c r="G309" s="2">
        <v>0</v>
      </c>
      <c r="H309" s="4"/>
      <c r="I309" s="4"/>
      <c r="J309" s="4"/>
      <c r="K309" s="4"/>
      <c r="L309" s="4"/>
    </row>
    <row r="310" spans="1:12" x14ac:dyDescent="0.15">
      <c r="A310" s="2" t="str">
        <f>HYPERLINK("./new_k5/query_cmdrels_weight_analyze/0.4_0.3_0.3/su_151911.xlsx","su_151911")</f>
        <v>su_151911</v>
      </c>
      <c r="B310" s="2">
        <v>0</v>
      </c>
      <c r="C310" s="2">
        <v>0</v>
      </c>
      <c r="D310" s="2">
        <v>0</v>
      </c>
      <c r="E310" s="2">
        <v>8.3333333333333329E-2</v>
      </c>
      <c r="F310" s="2">
        <v>0</v>
      </c>
      <c r="G310" s="2">
        <v>8.3333333333333329E-2</v>
      </c>
      <c r="H310" s="4"/>
      <c r="I310" s="4"/>
      <c r="J310" s="4"/>
      <c r="K310" s="4"/>
      <c r="L310" s="4"/>
    </row>
    <row r="311" spans="1:12" x14ac:dyDescent="0.15">
      <c r="A311" s="2" t="str">
        <f>HYPERLINK("./new_k5/query_cmdrels_weight_analyze/0.4_0.3_0.3/su_153415.xlsx","su_153415")</f>
        <v>su_153415</v>
      </c>
      <c r="B311" s="2">
        <v>0.5</v>
      </c>
      <c r="C311" s="2">
        <v>0.5</v>
      </c>
      <c r="D311" s="2">
        <v>0.5</v>
      </c>
      <c r="E311" s="2">
        <v>0.5</v>
      </c>
      <c r="F311" s="2">
        <v>0.5</v>
      </c>
      <c r="G311" s="2">
        <v>0.5</v>
      </c>
      <c r="H311" s="4"/>
      <c r="I311" s="4"/>
      <c r="J311" s="4"/>
      <c r="K311" s="4"/>
      <c r="L311" s="4"/>
    </row>
    <row r="312" spans="1:12" x14ac:dyDescent="0.15">
      <c r="A312" s="2" t="str">
        <f>HYPERLINK("./new_k5/query_cmdrels_weight_analyze/0.4_0.3_0.3/su_156189.xlsx","su_156189")</f>
        <v>su_156189</v>
      </c>
      <c r="B312" s="2">
        <v>0.16666666666666671</v>
      </c>
      <c r="C312" s="2">
        <v>0.16666666666666671</v>
      </c>
      <c r="D312" s="2">
        <v>0.16666666666666671</v>
      </c>
      <c r="E312" s="2">
        <v>0.27777777777777768</v>
      </c>
      <c r="F312" s="2">
        <v>0.16666666666666671</v>
      </c>
      <c r="G312" s="2">
        <v>0.27777777777777768</v>
      </c>
      <c r="H312" s="4"/>
      <c r="I312" s="4"/>
      <c r="J312" s="4"/>
      <c r="K312" s="4"/>
      <c r="L312" s="4"/>
    </row>
    <row r="313" spans="1:12" x14ac:dyDescent="0.15">
      <c r="A313" s="2" t="str">
        <f>HYPERLINK("./new_k5/query_cmdrels_weight_analyze/0.4_0.3_0.3/su_161531.xlsx","su_161531")</f>
        <v>su_161531</v>
      </c>
      <c r="B313" s="2">
        <v>0.33333333333333331</v>
      </c>
      <c r="C313" s="2">
        <v>0.33333333333333331</v>
      </c>
      <c r="D313" s="2">
        <v>0.55555555555555547</v>
      </c>
      <c r="E313" s="2">
        <v>0.66666666666666663</v>
      </c>
      <c r="F313" s="2">
        <v>0.55555555555555547</v>
      </c>
      <c r="G313" s="2">
        <v>0.91666666666666663</v>
      </c>
      <c r="H313" s="4"/>
      <c r="I313" s="4"/>
      <c r="J313" s="4"/>
      <c r="K313" s="4"/>
      <c r="L313" s="4"/>
    </row>
    <row r="314" spans="1:12" x14ac:dyDescent="0.15">
      <c r="A314" s="2" t="str">
        <f>HYPERLINK("./new_k5/query_cmdrels_weight_analyze/0.4_0.3_0.3/su_204209.xlsx","su_204209")</f>
        <v>su_204209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4"/>
      <c r="I314" s="4"/>
      <c r="J314" s="4"/>
      <c r="K314" s="4"/>
      <c r="L314" s="4"/>
    </row>
    <row r="315" spans="1:12" x14ac:dyDescent="0.15">
      <c r="A315" s="2" t="str">
        <f>HYPERLINK("./new_k5/query_cmdrels_weight_analyze/0.4_0.3_0.3/su_214390.xlsx","su_214390")</f>
        <v>su_214390</v>
      </c>
      <c r="B315" s="2">
        <v>1</v>
      </c>
      <c r="C315" s="2">
        <v>0</v>
      </c>
      <c r="D315" s="2">
        <v>1</v>
      </c>
      <c r="E315" s="2">
        <v>0.5</v>
      </c>
      <c r="F315" s="2">
        <v>1</v>
      </c>
      <c r="G315" s="2">
        <v>0.5</v>
      </c>
      <c r="H315" s="4"/>
      <c r="I315" s="4"/>
      <c r="J315" s="4"/>
      <c r="K315" s="4"/>
      <c r="L315" s="4"/>
    </row>
    <row r="316" spans="1:12" x14ac:dyDescent="0.15">
      <c r="A316" s="2" t="str">
        <f>HYPERLINK("./new_k5/query_cmdrels_weight_analyze/0.4_0.3_0.3/su_215483.xlsx","su_215483")</f>
        <v>su_215483</v>
      </c>
      <c r="B316" s="2">
        <v>0.5</v>
      </c>
      <c r="C316" s="2">
        <v>0.5</v>
      </c>
      <c r="D316" s="2">
        <v>1</v>
      </c>
      <c r="E316" s="2">
        <v>0.83333333333333326</v>
      </c>
      <c r="F316" s="2">
        <v>1</v>
      </c>
      <c r="G316" s="2">
        <v>0.83333333333333326</v>
      </c>
      <c r="H316" s="4"/>
      <c r="I316" s="4"/>
      <c r="J316" s="4"/>
      <c r="K316" s="4"/>
      <c r="L316" s="4"/>
    </row>
    <row r="317" spans="1:12" x14ac:dyDescent="0.15">
      <c r="A317" s="2" t="str">
        <f>HYPERLINK("./new_k5/query_cmdrels_weight_analyze/0.4_0.3_0.3/su_215504.xlsx","su_215504")</f>
        <v>su_215504</v>
      </c>
      <c r="B317" s="2">
        <v>0</v>
      </c>
      <c r="C317" s="2">
        <v>0</v>
      </c>
      <c r="D317" s="2">
        <v>0.29166666666666657</v>
      </c>
      <c r="E317" s="2">
        <v>0.29166666666666657</v>
      </c>
      <c r="F317" s="2">
        <v>0.44166666666666671</v>
      </c>
      <c r="G317" s="2">
        <v>0.47916666666666657</v>
      </c>
      <c r="H317" s="4"/>
      <c r="I317" s="4"/>
      <c r="J317" s="4"/>
      <c r="K317" s="4"/>
      <c r="L317" s="4"/>
    </row>
    <row r="318" spans="1:12" x14ac:dyDescent="0.15">
      <c r="A318" s="2" t="str">
        <f>HYPERLINK("./new_k5/query_cmdrels_weight_analyze/0.4_0.3_0.3/su_227385.xlsx","su_227385")</f>
        <v>su_227385</v>
      </c>
      <c r="B318" s="2">
        <v>0</v>
      </c>
      <c r="C318" s="2">
        <v>0</v>
      </c>
      <c r="D318" s="2">
        <v>0</v>
      </c>
      <c r="E318" s="2">
        <v>0.29166666666666657</v>
      </c>
      <c r="F318" s="2">
        <v>0</v>
      </c>
      <c r="G318" s="2">
        <v>0.6791666666666667</v>
      </c>
      <c r="H318" s="4"/>
      <c r="I318" s="4"/>
      <c r="J318" s="4"/>
      <c r="K318" s="4"/>
      <c r="L318" s="4"/>
    </row>
    <row r="319" spans="1:12" x14ac:dyDescent="0.15">
      <c r="A319" s="2" t="str">
        <f>HYPERLINK("./new_k5/query_cmdrels_weight_analyze/0.4_0.3_0.3/su_273254.xlsx","su_273254")</f>
        <v>su_273254</v>
      </c>
      <c r="B319" s="2">
        <v>0</v>
      </c>
      <c r="C319" s="2">
        <v>1</v>
      </c>
      <c r="D319" s="2">
        <v>0</v>
      </c>
      <c r="E319" s="2">
        <v>1</v>
      </c>
      <c r="F319" s="2">
        <v>0.25</v>
      </c>
      <c r="G319" s="2">
        <v>1</v>
      </c>
      <c r="H319" s="4"/>
      <c r="I319" s="4"/>
      <c r="J319" s="4"/>
      <c r="K319" s="4"/>
      <c r="L319" s="4"/>
    </row>
    <row r="320" spans="1:12" x14ac:dyDescent="0.15">
      <c r="A320" s="2" t="str">
        <f>HYPERLINK("./new_k5/query_cmdrels_weight_analyze/0.4_0.3_0.3/su_294161.xlsx","su_294161")</f>
        <v>su_294161</v>
      </c>
      <c r="B320" s="2">
        <v>0.33333333333333331</v>
      </c>
      <c r="C320" s="2">
        <v>0.33333333333333331</v>
      </c>
      <c r="D320" s="2">
        <v>1</v>
      </c>
      <c r="E320" s="2">
        <v>0.66666666666666663</v>
      </c>
      <c r="F320" s="2">
        <v>1</v>
      </c>
      <c r="G320" s="2">
        <v>0.91666666666666663</v>
      </c>
      <c r="H320" s="4"/>
      <c r="I320" s="4"/>
      <c r="J320" s="4"/>
      <c r="K320" s="4"/>
      <c r="L320" s="4"/>
    </row>
    <row r="321" spans="1:12" x14ac:dyDescent="0.15">
      <c r="A321" s="2" t="str">
        <f>HYPERLINK("./new_k5/query_cmdrels_weight_analyze/0.4_0.3_0.3/su_302396.xlsx","su_302396")</f>
        <v>su_302396</v>
      </c>
      <c r="B321" s="2">
        <v>0.16666666666666671</v>
      </c>
      <c r="C321" s="2">
        <v>0.16666666666666671</v>
      </c>
      <c r="D321" s="2">
        <v>0.33333333333333331</v>
      </c>
      <c r="E321" s="2">
        <v>0.5</v>
      </c>
      <c r="F321" s="2">
        <v>0.45833333333333331</v>
      </c>
      <c r="G321" s="2">
        <v>0.6333333333333333</v>
      </c>
      <c r="H321" s="4"/>
      <c r="I321" s="4"/>
      <c r="J321" s="4"/>
      <c r="K321" s="4"/>
      <c r="L321" s="4"/>
    </row>
    <row r="322" spans="1:12" x14ac:dyDescent="0.15">
      <c r="A322" s="2" t="str">
        <f>HYPERLINK("./new_k5/query_cmdrels_weight_analyze/0.4_0.3_0.3/su_303981.xlsx","su_303981")</f>
        <v>su_303981</v>
      </c>
      <c r="B322" s="2">
        <v>0.16666666666666671</v>
      </c>
      <c r="C322" s="2">
        <v>0.16666666666666671</v>
      </c>
      <c r="D322" s="2">
        <v>0.5</v>
      </c>
      <c r="E322" s="2">
        <v>0.33333333333333331</v>
      </c>
      <c r="F322" s="2">
        <v>0.5</v>
      </c>
      <c r="G322" s="2">
        <v>0.33333333333333331</v>
      </c>
      <c r="H322" s="4"/>
      <c r="I322" s="4"/>
      <c r="J322" s="4"/>
      <c r="K322" s="4"/>
      <c r="L322" s="4"/>
    </row>
    <row r="323" spans="1:12" x14ac:dyDescent="0.15">
      <c r="A323" s="2" t="str">
        <f>HYPERLINK("./new_k5/query_cmdrels_weight_analyze/0.4_0.3_0.3/su_305128.xlsx","su_305128")</f>
        <v>su_305128</v>
      </c>
      <c r="B323" s="2">
        <v>0.5</v>
      </c>
      <c r="C323" s="2">
        <v>0.5</v>
      </c>
      <c r="D323" s="2">
        <v>1</v>
      </c>
      <c r="E323" s="2">
        <v>0.5</v>
      </c>
      <c r="F323" s="2">
        <v>1</v>
      </c>
      <c r="G323" s="2">
        <v>0.5</v>
      </c>
      <c r="H323" s="4"/>
      <c r="I323" s="4"/>
      <c r="J323" s="4"/>
      <c r="K323" s="4"/>
      <c r="L323" s="4"/>
    </row>
    <row r="324" spans="1:12" x14ac:dyDescent="0.15">
      <c r="A324" s="2" t="str">
        <f>HYPERLINK("./new_k5/query_cmdrels_weight_analyze/0.4_0.3_0.3/su_31512.xlsx","su_31512")</f>
        <v>su_31512</v>
      </c>
      <c r="B324" s="2">
        <v>0.25</v>
      </c>
      <c r="C324" s="2">
        <v>0.25</v>
      </c>
      <c r="D324" s="2">
        <v>0.41666666666666657</v>
      </c>
      <c r="E324" s="2">
        <v>0.25</v>
      </c>
      <c r="F324" s="2">
        <v>0.41666666666666657</v>
      </c>
      <c r="G324" s="2">
        <v>0.25</v>
      </c>
      <c r="H324" s="4"/>
      <c r="I324" s="4"/>
      <c r="J324" s="4"/>
      <c r="K324" s="4"/>
      <c r="L324" s="4"/>
    </row>
    <row r="325" spans="1:12" x14ac:dyDescent="0.15">
      <c r="A325" s="2" t="str">
        <f>HYPERLINK("./new_k5/query_cmdrels_weight_analyze/0.4_0.3_0.3/su_380520.xlsx","su_380520")</f>
        <v>su_380520</v>
      </c>
      <c r="B325" s="2">
        <v>0.33333333333333331</v>
      </c>
      <c r="C325" s="2">
        <v>0</v>
      </c>
      <c r="D325" s="2">
        <v>0.33333333333333331</v>
      </c>
      <c r="E325" s="2">
        <v>0.16666666666666671</v>
      </c>
      <c r="F325" s="2">
        <v>0.33333333333333331</v>
      </c>
      <c r="G325" s="2">
        <v>0.33333333333333331</v>
      </c>
      <c r="H325" s="4"/>
      <c r="I325" s="4"/>
      <c r="J325" s="4"/>
      <c r="K325" s="4"/>
      <c r="L325" s="4"/>
    </row>
    <row r="326" spans="1:12" x14ac:dyDescent="0.15">
      <c r="A326" s="2" t="str">
        <f>HYPERLINK("./new_k5/query_cmdrels_weight_analyze/0.4_0.3_0.3/su_38981.xlsx","su_38981")</f>
        <v>su_38981</v>
      </c>
      <c r="B326" s="2">
        <v>0.33333333333333331</v>
      </c>
      <c r="C326" s="2">
        <v>0.33333333333333331</v>
      </c>
      <c r="D326" s="2">
        <v>0.33333333333333331</v>
      </c>
      <c r="E326" s="2">
        <v>0.66666666666666663</v>
      </c>
      <c r="F326" s="2">
        <v>0.33333333333333331</v>
      </c>
      <c r="G326" s="2">
        <v>0.66666666666666663</v>
      </c>
      <c r="H326" s="4"/>
      <c r="I326" s="4"/>
      <c r="J326" s="4"/>
      <c r="K326" s="4"/>
      <c r="L326" s="4"/>
    </row>
    <row r="327" spans="1:12" x14ac:dyDescent="0.15">
      <c r="A327" s="2" t="str">
        <f>HYPERLINK("./new_k5/query_cmdrels_weight_analyze/0.4_0.3_0.3/su_437330.xlsx","su_437330")</f>
        <v>su_437330</v>
      </c>
      <c r="B327" s="2">
        <v>0.33333333333333331</v>
      </c>
      <c r="C327" s="2">
        <v>0.33333333333333331</v>
      </c>
      <c r="D327" s="2">
        <v>0.33333333333333331</v>
      </c>
      <c r="E327" s="2">
        <v>0.33333333333333331</v>
      </c>
      <c r="F327" s="2">
        <v>0.33333333333333331</v>
      </c>
      <c r="G327" s="2">
        <v>0.33333333333333331</v>
      </c>
      <c r="H327" s="4"/>
      <c r="I327" s="4"/>
      <c r="J327" s="4"/>
      <c r="K327" s="4"/>
      <c r="L327" s="4"/>
    </row>
    <row r="328" spans="1:12" x14ac:dyDescent="0.15">
      <c r="A328" s="2" t="str">
        <f>HYPERLINK("./new_k5/query_cmdrels_weight_analyze/0.4_0.3_0.3/su_441379.xlsx","su_441379")</f>
        <v>su_441379</v>
      </c>
      <c r="B328" s="2">
        <v>0.125</v>
      </c>
      <c r="C328" s="2">
        <v>0.125</v>
      </c>
      <c r="D328" s="2">
        <v>0.20833333333333329</v>
      </c>
      <c r="E328" s="2">
        <v>0.25</v>
      </c>
      <c r="F328" s="2">
        <v>0.30208333333333331</v>
      </c>
      <c r="G328" s="2">
        <v>0.44374999999999998</v>
      </c>
      <c r="H328" s="4"/>
      <c r="I328" s="4"/>
      <c r="J328" s="4"/>
      <c r="K328" s="4"/>
      <c r="L328" s="4"/>
    </row>
    <row r="329" spans="1:12" x14ac:dyDescent="0.15">
      <c r="A329" s="2" t="str">
        <f>HYPERLINK("./new_k5/query_cmdrels_weight_analyze/0.4_0.3_0.3/su_462788.xlsx","su_462788")</f>
        <v>su_462788</v>
      </c>
      <c r="B329" s="2">
        <v>0.1111111111111111</v>
      </c>
      <c r="C329" s="2">
        <v>0.1111111111111111</v>
      </c>
      <c r="D329" s="2">
        <v>0.22222222222222221</v>
      </c>
      <c r="E329" s="2">
        <v>0.22222222222222221</v>
      </c>
      <c r="F329" s="2">
        <v>0.30555555555555558</v>
      </c>
      <c r="G329" s="2">
        <v>0.39444444444444438</v>
      </c>
      <c r="H329" s="4"/>
      <c r="I329" s="4"/>
      <c r="J329" s="4"/>
      <c r="K329" s="4"/>
      <c r="L329" s="4"/>
    </row>
    <row r="330" spans="1:12" x14ac:dyDescent="0.15">
      <c r="A330" s="2" t="str">
        <f>HYPERLINK("./new_k5/query_cmdrels_weight_analyze/0.4_0.3_0.3/su_626606.xlsx","su_626606")</f>
        <v>su_626606</v>
      </c>
      <c r="B330" s="2">
        <v>0.16666666666666671</v>
      </c>
      <c r="C330" s="2">
        <v>0.16666666666666671</v>
      </c>
      <c r="D330" s="2">
        <v>0.5</v>
      </c>
      <c r="E330" s="2">
        <v>0.5</v>
      </c>
      <c r="F330" s="2">
        <v>0.83333333333333337</v>
      </c>
      <c r="G330" s="2">
        <v>0.83333333333333337</v>
      </c>
      <c r="H330" s="4"/>
      <c r="I330" s="4"/>
      <c r="J330" s="4"/>
      <c r="K330" s="4"/>
      <c r="L330" s="4"/>
    </row>
    <row r="331" spans="1:12" x14ac:dyDescent="0.15">
      <c r="A331" s="2" t="str">
        <f>HYPERLINK("./new_k5/query_cmdrels_weight_analyze/0.4_0.3_0.3/su_634469.xlsx","su_634469")</f>
        <v>su_634469</v>
      </c>
      <c r="B331" s="2">
        <v>0</v>
      </c>
      <c r="C331" s="2">
        <v>0.16666666666666671</v>
      </c>
      <c r="D331" s="2">
        <v>0</v>
      </c>
      <c r="E331" s="2">
        <v>0.27777777777777768</v>
      </c>
      <c r="F331" s="2">
        <v>0</v>
      </c>
      <c r="G331" s="2">
        <v>0.37777777777777782</v>
      </c>
      <c r="H331" s="4"/>
      <c r="I331" s="4"/>
      <c r="J331" s="4"/>
      <c r="K331" s="4"/>
      <c r="L331" s="4"/>
    </row>
    <row r="332" spans="1:12" x14ac:dyDescent="0.15">
      <c r="A332" s="2" t="str">
        <f>HYPERLINK("./new_k5/query_cmdrels_weight_analyze/0.4_0.3_0.3/su_638616.xlsx","su_638616")</f>
        <v>su_638616</v>
      </c>
      <c r="B332" s="2">
        <v>0</v>
      </c>
      <c r="C332" s="2">
        <v>0.25</v>
      </c>
      <c r="D332" s="2">
        <v>0.125</v>
      </c>
      <c r="E332" s="2">
        <v>0.75</v>
      </c>
      <c r="F332" s="2">
        <v>0.125</v>
      </c>
      <c r="G332" s="2">
        <v>0.75</v>
      </c>
      <c r="H332" s="4"/>
      <c r="I332" s="4"/>
      <c r="J332" s="4"/>
      <c r="K332" s="4"/>
      <c r="L332" s="4"/>
    </row>
    <row r="333" spans="1:12" x14ac:dyDescent="0.15">
      <c r="A333" s="2" t="str">
        <f>HYPERLINK("./new_k5/query_cmdrels_weight_analyze/0.4_0.3_0.3/su_678113.xlsx","su_678113")</f>
        <v>su_678113</v>
      </c>
      <c r="B333" s="2">
        <v>0</v>
      </c>
      <c r="C333" s="2">
        <v>0.5</v>
      </c>
      <c r="D333" s="2">
        <v>0</v>
      </c>
      <c r="E333" s="2">
        <v>0.5</v>
      </c>
      <c r="F333" s="2">
        <v>0</v>
      </c>
      <c r="G333" s="2">
        <v>0.5</v>
      </c>
      <c r="H333" s="4"/>
      <c r="I333" s="4"/>
      <c r="J333" s="4"/>
      <c r="K333" s="4"/>
      <c r="L333" s="4"/>
    </row>
    <row r="334" spans="1:12" x14ac:dyDescent="0.15">
      <c r="A334" s="2" t="str">
        <f>HYPERLINK("./new_k5/query_cmdrels_weight_analyze/0.4_0.3_0.3/su_686394.xlsx","su_686394")</f>
        <v>su_686394</v>
      </c>
      <c r="B334" s="2">
        <v>1</v>
      </c>
      <c r="C334" s="2">
        <v>1</v>
      </c>
      <c r="D334" s="2">
        <v>1</v>
      </c>
      <c r="E334" s="2">
        <v>1</v>
      </c>
      <c r="F334" s="2">
        <v>1</v>
      </c>
      <c r="G334" s="2">
        <v>1</v>
      </c>
      <c r="H334" s="4"/>
      <c r="I334" s="4"/>
      <c r="J334" s="4"/>
      <c r="K334" s="4"/>
      <c r="L334" s="4"/>
    </row>
    <row r="335" spans="1:12" x14ac:dyDescent="0.15">
      <c r="A335" s="2" t="str">
        <f>HYPERLINK("./new_k5/query_cmdrels_weight_analyze/0.4_0.3_0.3/su_716795.xlsx","su_716795")</f>
        <v>su_716795</v>
      </c>
      <c r="B335" s="2">
        <v>0.5</v>
      </c>
      <c r="C335" s="2">
        <v>0</v>
      </c>
      <c r="D335" s="2">
        <v>0.83333333333333326</v>
      </c>
      <c r="E335" s="2">
        <v>0</v>
      </c>
      <c r="F335" s="2">
        <v>0.83333333333333326</v>
      </c>
      <c r="G335" s="2">
        <v>0.125</v>
      </c>
      <c r="H335" s="4"/>
      <c r="I335" s="4"/>
      <c r="J335" s="4"/>
      <c r="K335" s="4"/>
      <c r="L335" s="4"/>
    </row>
    <row r="336" spans="1:12" x14ac:dyDescent="0.15">
      <c r="A336" s="2" t="str">
        <f>HYPERLINK("./new_k5/query_cmdrels_weight_analyze/0.4_0.3_0.3/su_758463.xlsx","su_758463")</f>
        <v>su_758463</v>
      </c>
      <c r="B336" s="2">
        <v>1</v>
      </c>
      <c r="C336" s="2">
        <v>1</v>
      </c>
      <c r="D336" s="2">
        <v>1</v>
      </c>
      <c r="E336" s="2">
        <v>1</v>
      </c>
      <c r="F336" s="2">
        <v>1</v>
      </c>
      <c r="G336" s="2">
        <v>1</v>
      </c>
      <c r="H336" s="4"/>
      <c r="I336" s="4"/>
      <c r="J336" s="4"/>
      <c r="K336" s="4"/>
      <c r="L336" s="4"/>
    </row>
    <row r="337" spans="1:12" x14ac:dyDescent="0.15">
      <c r="A337" s="2" t="str">
        <f>HYPERLINK("./new_k5/query_cmdrels_weight_analyze/0.4_0.3_0.3/su_766437.xlsx","su_766437")</f>
        <v>su_766437</v>
      </c>
      <c r="B337" s="2">
        <v>0</v>
      </c>
      <c r="C337" s="2">
        <v>0</v>
      </c>
      <c r="D337" s="2">
        <v>0</v>
      </c>
      <c r="E337" s="2">
        <v>6.6666666666666666E-2</v>
      </c>
      <c r="F337" s="2">
        <v>0.05</v>
      </c>
      <c r="G337" s="2">
        <v>0.28666666666666663</v>
      </c>
      <c r="H337" s="4"/>
      <c r="I337" s="4"/>
      <c r="J337" s="4"/>
      <c r="K337" s="4"/>
      <c r="L337" s="4"/>
    </row>
    <row r="338" spans="1:12" x14ac:dyDescent="0.15">
      <c r="A338" s="2" t="str">
        <f>HYPERLINK("./new_k5/query_cmdrels_weight_analyze/0.4_0.3_0.3/su_904001.xlsx","su_904001")</f>
        <v>su_904001</v>
      </c>
      <c r="B338" s="2">
        <v>0.5</v>
      </c>
      <c r="C338" s="2">
        <v>0</v>
      </c>
      <c r="D338" s="2">
        <v>0.5</v>
      </c>
      <c r="E338" s="2">
        <v>0.25</v>
      </c>
      <c r="F338" s="2">
        <v>0.5</v>
      </c>
      <c r="G338" s="2">
        <v>0.25</v>
      </c>
      <c r="H338" s="4"/>
      <c r="I338" s="4"/>
      <c r="J338" s="4"/>
      <c r="K338" s="4"/>
      <c r="L338" s="4"/>
    </row>
    <row r="339" spans="1:12" x14ac:dyDescent="0.15">
      <c r="A339" s="2" t="str">
        <f>HYPERLINK("./new_k5/query_cmdrels_weight_analyze/0.4_0.3_0.3/ul_100959.xlsx","ul_100959")</f>
        <v>ul_100959</v>
      </c>
      <c r="B339" s="2">
        <v>0</v>
      </c>
      <c r="C339" s="2">
        <v>0</v>
      </c>
      <c r="D339" s="2">
        <v>0.25</v>
      </c>
      <c r="E339" s="2">
        <v>0.58333333333333326</v>
      </c>
      <c r="F339" s="2">
        <v>0.25</v>
      </c>
      <c r="G339" s="2">
        <v>0.58333333333333326</v>
      </c>
      <c r="H339" s="4"/>
      <c r="I339" s="4"/>
      <c r="J339" s="4"/>
      <c r="K339" s="4"/>
      <c r="L339" s="4"/>
    </row>
    <row r="340" spans="1:12" x14ac:dyDescent="0.15">
      <c r="A340" s="2" t="str">
        <f>HYPERLINK("./new_k5/query_cmdrels_weight_analyze/0.4_0.3_0.3/ul_101073.xlsx","ul_101073")</f>
        <v>ul_101073</v>
      </c>
      <c r="B340" s="2">
        <v>0.33333333333333331</v>
      </c>
      <c r="C340" s="2">
        <v>0</v>
      </c>
      <c r="D340" s="2">
        <v>0.33333333333333331</v>
      </c>
      <c r="E340" s="2">
        <v>0.1111111111111111</v>
      </c>
      <c r="F340" s="2">
        <v>0.33333333333333331</v>
      </c>
      <c r="G340" s="2">
        <v>0.27777777777777768</v>
      </c>
      <c r="H340" s="4"/>
      <c r="I340" s="4"/>
      <c r="J340" s="4"/>
      <c r="K340" s="4"/>
      <c r="L340" s="4"/>
    </row>
    <row r="341" spans="1:12" x14ac:dyDescent="0.15">
      <c r="A341" s="2" t="str">
        <f>HYPERLINK("./new_k5/query_cmdrels_weight_analyze/0.4_0.3_0.3/ul_101237.xlsx","ul_101237")</f>
        <v>ul_101237</v>
      </c>
      <c r="B341" s="2">
        <v>0</v>
      </c>
      <c r="C341" s="2">
        <v>0.5</v>
      </c>
      <c r="D341" s="2">
        <v>0.25</v>
      </c>
      <c r="E341" s="2">
        <v>1</v>
      </c>
      <c r="F341" s="2">
        <v>0.25</v>
      </c>
      <c r="G341" s="2">
        <v>1</v>
      </c>
      <c r="H341" s="4"/>
      <c r="I341" s="4"/>
      <c r="J341" s="4"/>
      <c r="K341" s="4"/>
      <c r="L341" s="4"/>
    </row>
    <row r="342" spans="1:12" x14ac:dyDescent="0.15">
      <c r="A342" s="2" t="str">
        <f>HYPERLINK("./new_k5/query_cmdrels_weight_analyze/0.4_0.3_0.3/ul_102752.xlsx","ul_102752")</f>
        <v>ul_102752</v>
      </c>
      <c r="B342" s="2">
        <v>0</v>
      </c>
      <c r="C342" s="2">
        <v>0.25</v>
      </c>
      <c r="D342" s="2">
        <v>0.29166666666666657</v>
      </c>
      <c r="E342" s="2">
        <v>0.41666666666666657</v>
      </c>
      <c r="F342" s="2">
        <v>0.29166666666666657</v>
      </c>
      <c r="G342" s="2">
        <v>0.60416666666666663</v>
      </c>
      <c r="H342" s="4"/>
      <c r="I342" s="4"/>
      <c r="J342" s="4"/>
      <c r="K342" s="4"/>
      <c r="L342" s="4"/>
    </row>
    <row r="343" spans="1:12" x14ac:dyDescent="0.15">
      <c r="A343" s="2" t="str">
        <f>HYPERLINK("./new_k5/query_cmdrels_weight_analyze/0.4_0.3_0.3/ul_108174.xlsx","ul_108174")</f>
        <v>ul_108174</v>
      </c>
      <c r="B343" s="2">
        <v>0</v>
      </c>
      <c r="C343" s="2">
        <v>0</v>
      </c>
      <c r="D343" s="2">
        <v>0.16666666666666671</v>
      </c>
      <c r="E343" s="2">
        <v>0.1111111111111111</v>
      </c>
      <c r="F343" s="2">
        <v>0.16666666666666671</v>
      </c>
      <c r="G343" s="2">
        <v>0.1111111111111111</v>
      </c>
      <c r="H343" s="4"/>
      <c r="I343" s="4"/>
      <c r="J343" s="4"/>
      <c r="K343" s="4"/>
      <c r="L343" s="4"/>
    </row>
    <row r="344" spans="1:12" x14ac:dyDescent="0.15">
      <c r="A344" s="2" t="str">
        <f>HYPERLINK("./new_k5/query_cmdrels_weight_analyze/0.4_0.3_0.3/ul_109536.xlsx","ul_109536")</f>
        <v>ul_109536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4"/>
      <c r="I344" s="4"/>
      <c r="J344" s="4"/>
      <c r="K344" s="4"/>
      <c r="L344" s="4"/>
    </row>
    <row r="345" spans="1:12" x14ac:dyDescent="0.15">
      <c r="A345" s="2" t="str">
        <f>HYPERLINK("./new_k5/query_cmdrels_weight_analyze/0.4_0.3_0.3/ul_112050.xlsx","ul_112050")</f>
        <v>ul_112050</v>
      </c>
      <c r="B345" s="2">
        <v>0</v>
      </c>
      <c r="C345" s="2">
        <v>0.25</v>
      </c>
      <c r="D345" s="2">
        <v>0.125</v>
      </c>
      <c r="E345" s="2">
        <v>0.75</v>
      </c>
      <c r="F345" s="2">
        <v>0.125</v>
      </c>
      <c r="G345" s="2">
        <v>0.75</v>
      </c>
      <c r="H345" s="4"/>
      <c r="I345" s="4"/>
      <c r="J345" s="4"/>
      <c r="K345" s="4"/>
      <c r="L345" s="4"/>
    </row>
    <row r="346" spans="1:12" x14ac:dyDescent="0.15">
      <c r="A346" s="2" t="str">
        <f>HYPERLINK("./new_k5/query_cmdrels_weight_analyze/0.4_0.3_0.3/ul_116070.xlsx","ul_116070")</f>
        <v>ul_116070</v>
      </c>
      <c r="B346" s="2">
        <v>0.16666666666666671</v>
      </c>
      <c r="C346" s="2">
        <v>0.16666666666666671</v>
      </c>
      <c r="D346" s="2">
        <v>0.33333333333333331</v>
      </c>
      <c r="E346" s="2">
        <v>0.5</v>
      </c>
      <c r="F346" s="2">
        <v>0.45833333333333331</v>
      </c>
      <c r="G346" s="2">
        <v>0.5</v>
      </c>
      <c r="H346" s="4"/>
      <c r="I346" s="4"/>
      <c r="J346" s="4"/>
      <c r="K346" s="4"/>
      <c r="L346" s="4"/>
    </row>
    <row r="347" spans="1:12" x14ac:dyDescent="0.15">
      <c r="A347" s="2" t="str">
        <f>HYPERLINK("./new_k5/query_cmdrels_weight_analyze/0.4_0.3_0.3/ul_11851.xlsx","ul_11851")</f>
        <v>ul_11851</v>
      </c>
      <c r="B347" s="2">
        <v>0</v>
      </c>
      <c r="C347" s="2">
        <v>0.2</v>
      </c>
      <c r="D347" s="2">
        <v>0</v>
      </c>
      <c r="E347" s="2">
        <v>0.6</v>
      </c>
      <c r="F347" s="2">
        <v>0</v>
      </c>
      <c r="G347" s="2">
        <v>0.8</v>
      </c>
      <c r="H347" s="4"/>
      <c r="I347" s="4"/>
      <c r="J347" s="4"/>
      <c r="K347" s="4"/>
      <c r="L347" s="4"/>
    </row>
    <row r="348" spans="1:12" x14ac:dyDescent="0.15">
      <c r="A348" s="2" t="str">
        <f>HYPERLINK("./new_k5/query_cmdrels_weight_analyze/0.4_0.3_0.3/ul_119126.xlsx","ul_119126")</f>
        <v>ul_119126</v>
      </c>
      <c r="B348" s="2">
        <v>0</v>
      </c>
      <c r="C348" s="2">
        <v>0.2</v>
      </c>
      <c r="D348" s="2">
        <v>0.1</v>
      </c>
      <c r="E348" s="2">
        <v>0.33333333333333331</v>
      </c>
      <c r="F348" s="2">
        <v>0.18</v>
      </c>
      <c r="G348" s="2">
        <v>0.48333333333333328</v>
      </c>
      <c r="H348" s="4"/>
      <c r="I348" s="4"/>
      <c r="J348" s="4"/>
      <c r="K348" s="4"/>
      <c r="L348" s="4"/>
    </row>
    <row r="349" spans="1:12" x14ac:dyDescent="0.15">
      <c r="A349" s="2" t="str">
        <f>HYPERLINK("./new_k5/query_cmdrels_weight_analyze/0.4_0.3_0.3/ul_121718.xlsx","ul_121718")</f>
        <v>ul_121718</v>
      </c>
      <c r="B349" s="2">
        <v>0.33333333333333331</v>
      </c>
      <c r="C349" s="2">
        <v>0.33333333333333331</v>
      </c>
      <c r="D349" s="2">
        <v>0.33333333333333331</v>
      </c>
      <c r="E349" s="2">
        <v>0.33333333333333331</v>
      </c>
      <c r="F349" s="2">
        <v>0.33333333333333331</v>
      </c>
      <c r="G349" s="2">
        <v>0.33333333333333331</v>
      </c>
      <c r="H349" s="4"/>
      <c r="I349" s="4"/>
      <c r="J349" s="4"/>
      <c r="K349" s="4"/>
      <c r="L349" s="4"/>
    </row>
    <row r="350" spans="1:12" x14ac:dyDescent="0.15">
      <c r="A350" s="2" t="str">
        <f>HYPERLINK("./new_k5/query_cmdrels_weight_analyze/0.4_0.3_0.3/ul_12227.xlsx","ul_12227")</f>
        <v>ul_12227</v>
      </c>
      <c r="B350" s="2">
        <v>0.5</v>
      </c>
      <c r="C350" s="2">
        <v>0.5</v>
      </c>
      <c r="D350" s="2">
        <v>0.5</v>
      </c>
      <c r="E350" s="2">
        <v>0.5</v>
      </c>
      <c r="F350" s="2">
        <v>0.5</v>
      </c>
      <c r="G350" s="2">
        <v>0.5</v>
      </c>
      <c r="H350" s="4"/>
      <c r="I350" s="4"/>
      <c r="J350" s="4"/>
      <c r="K350" s="4"/>
      <c r="L350" s="4"/>
    </row>
    <row r="351" spans="1:12" x14ac:dyDescent="0.15">
      <c r="A351" s="2" t="str">
        <f>HYPERLINK("./new_k5/query_cmdrels_weight_analyze/0.4_0.3_0.3/ul_12453.xlsx","ul_12453")</f>
        <v>ul_12453</v>
      </c>
      <c r="B351" s="2">
        <v>0</v>
      </c>
      <c r="C351" s="2">
        <v>0.25</v>
      </c>
      <c r="D351" s="2">
        <v>0.125</v>
      </c>
      <c r="E351" s="2">
        <v>0.75</v>
      </c>
      <c r="F351" s="2">
        <v>0.125</v>
      </c>
      <c r="G351" s="2">
        <v>1</v>
      </c>
      <c r="H351" s="4"/>
      <c r="I351" s="4"/>
      <c r="J351" s="4"/>
      <c r="K351" s="4"/>
      <c r="L351" s="4"/>
    </row>
    <row r="352" spans="1:12" x14ac:dyDescent="0.15">
      <c r="A352" s="2" t="str">
        <f>HYPERLINK("./new_k5/query_cmdrels_weight_analyze/0.4_0.3_0.3/ul_12535.xlsx","ul_12535")</f>
        <v>ul_12535</v>
      </c>
      <c r="B352" s="2">
        <v>0</v>
      </c>
      <c r="C352" s="2">
        <v>0</v>
      </c>
      <c r="D352" s="2">
        <v>0</v>
      </c>
      <c r="E352" s="2">
        <v>6.6666666666666666E-2</v>
      </c>
      <c r="F352" s="2">
        <v>0.05</v>
      </c>
      <c r="G352" s="2">
        <v>0.16666666666666671</v>
      </c>
      <c r="H352" s="4"/>
      <c r="I352" s="4"/>
      <c r="J352" s="4"/>
      <c r="K352" s="4"/>
      <c r="L352" s="4"/>
    </row>
    <row r="353" spans="1:12" x14ac:dyDescent="0.15">
      <c r="A353" s="2" t="str">
        <f>HYPERLINK("./new_k5/query_cmdrels_weight_analyze/0.4_0.3_0.3/ul_127066.xlsx","ul_127066")</f>
        <v>ul_127066</v>
      </c>
      <c r="B353" s="2">
        <v>0.25</v>
      </c>
      <c r="C353" s="2">
        <v>0.25</v>
      </c>
      <c r="D353" s="2">
        <v>0.25</v>
      </c>
      <c r="E353" s="2">
        <v>0.41666666666666657</v>
      </c>
      <c r="F353" s="2">
        <v>0.25</v>
      </c>
      <c r="G353" s="2">
        <v>0.60416666666666663</v>
      </c>
      <c r="H353" s="4"/>
      <c r="I353" s="4"/>
      <c r="J353" s="4"/>
      <c r="K353" s="4"/>
      <c r="L353" s="4"/>
    </row>
    <row r="354" spans="1:12" x14ac:dyDescent="0.15">
      <c r="A354" s="2" t="str">
        <f>HYPERLINK("./new_k5/query_cmdrels_weight_analyze/0.4_0.3_0.3/ul_128953.xlsx","ul_128953")</f>
        <v>ul_128953</v>
      </c>
      <c r="B354" s="2">
        <v>0</v>
      </c>
      <c r="C354" s="2">
        <v>0.33333333333333331</v>
      </c>
      <c r="D354" s="2">
        <v>0.38888888888888878</v>
      </c>
      <c r="E354" s="2">
        <v>0.33333333333333331</v>
      </c>
      <c r="F354" s="2">
        <v>0.38888888888888878</v>
      </c>
      <c r="G354" s="2">
        <v>0.5</v>
      </c>
      <c r="H354" s="4"/>
      <c r="I354" s="4"/>
      <c r="J354" s="4"/>
      <c r="K354" s="4"/>
      <c r="L354" s="4"/>
    </row>
    <row r="355" spans="1:12" x14ac:dyDescent="0.15">
      <c r="A355" s="2" t="str">
        <f>HYPERLINK("./new_k5/query_cmdrels_weight_analyze/0.4_0.3_0.3/ul_134829.xlsx","ul_134829")</f>
        <v>ul_134829</v>
      </c>
      <c r="B355" s="2">
        <v>0.16666666666666671</v>
      </c>
      <c r="C355" s="2">
        <v>0.16666666666666671</v>
      </c>
      <c r="D355" s="2">
        <v>0.33333333333333331</v>
      </c>
      <c r="E355" s="2">
        <v>0.5</v>
      </c>
      <c r="F355" s="2">
        <v>0.33333333333333331</v>
      </c>
      <c r="G355" s="2">
        <v>0.66666666666666663</v>
      </c>
      <c r="H355" s="4"/>
      <c r="I355" s="4"/>
      <c r="J355" s="4"/>
      <c r="K355" s="4"/>
      <c r="L355" s="4"/>
    </row>
    <row r="356" spans="1:12" x14ac:dyDescent="0.15">
      <c r="A356" s="2" t="str">
        <f>HYPERLINK("./new_k5/query_cmdrels_weight_analyze/0.4_0.3_0.3/ul_136371.xlsx","ul_136371")</f>
        <v>ul_136371</v>
      </c>
      <c r="B356" s="2">
        <v>0</v>
      </c>
      <c r="C356" s="2">
        <v>0</v>
      </c>
      <c r="D356" s="2">
        <v>0</v>
      </c>
      <c r="E356" s="2">
        <v>0.16666666666666671</v>
      </c>
      <c r="F356" s="2">
        <v>0</v>
      </c>
      <c r="G356" s="2">
        <v>0.3</v>
      </c>
      <c r="H356" s="4"/>
      <c r="I356" s="4"/>
      <c r="J356" s="4"/>
      <c r="K356" s="4"/>
      <c r="L356" s="4"/>
    </row>
    <row r="357" spans="1:12" x14ac:dyDescent="0.15">
      <c r="A357" s="2" t="str">
        <f>HYPERLINK("./new_k5/query_cmdrels_weight_analyze/0.4_0.3_0.3/ul_136884.xlsx","ul_136884")</f>
        <v>ul_136884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8.3333333333333329E-2</v>
      </c>
      <c r="H357" s="4"/>
      <c r="I357" s="4"/>
      <c r="J357" s="4"/>
      <c r="K357" s="4"/>
      <c r="L357" s="4"/>
    </row>
    <row r="358" spans="1:12" x14ac:dyDescent="0.15">
      <c r="A358" s="2" t="str">
        <f>HYPERLINK("./new_k5/query_cmdrels_weight_analyze/0.4_0.3_0.3/ul_138398.xlsx","ul_138398")</f>
        <v>ul_138398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4"/>
      <c r="I358" s="4"/>
      <c r="J358" s="4"/>
      <c r="K358" s="4"/>
      <c r="L358" s="4"/>
    </row>
    <row r="359" spans="1:12" x14ac:dyDescent="0.15">
      <c r="A359" s="2" t="str">
        <f>HYPERLINK("./new_k5/query_cmdrels_weight_analyze/0.4_0.3_0.3/ul_139271.xlsx","ul_139271")</f>
        <v>ul_139271</v>
      </c>
      <c r="B359" s="2">
        <v>0.16666666666666671</v>
      </c>
      <c r="C359" s="2">
        <v>0.16666666666666671</v>
      </c>
      <c r="D359" s="2">
        <v>0.33333333333333331</v>
      </c>
      <c r="E359" s="2">
        <v>0.33333333333333331</v>
      </c>
      <c r="F359" s="2">
        <v>0.33333333333333331</v>
      </c>
      <c r="G359" s="2">
        <v>0.45833333333333331</v>
      </c>
      <c r="H359" s="4"/>
      <c r="I359" s="4"/>
      <c r="J359" s="4"/>
      <c r="K359" s="4"/>
      <c r="L359" s="4"/>
    </row>
    <row r="360" spans="1:12" x14ac:dyDescent="0.15">
      <c r="A360" s="2" t="str">
        <f>HYPERLINK("./new_k5/query_cmdrels_weight_analyze/0.4_0.3_0.3/ul_140482.xlsx","ul_140482")</f>
        <v>ul_140482</v>
      </c>
      <c r="B360" s="2">
        <v>0.33333333333333331</v>
      </c>
      <c r="C360" s="2">
        <v>0.33333333333333331</v>
      </c>
      <c r="D360" s="2">
        <v>0.33333333333333331</v>
      </c>
      <c r="E360" s="2">
        <v>0.33333333333333331</v>
      </c>
      <c r="F360" s="2">
        <v>0.33333333333333331</v>
      </c>
      <c r="G360" s="2">
        <v>0.33333333333333331</v>
      </c>
      <c r="H360" s="4"/>
      <c r="I360" s="4"/>
      <c r="J360" s="4"/>
      <c r="K360" s="4"/>
      <c r="L360" s="4"/>
    </row>
    <row r="361" spans="1:12" x14ac:dyDescent="0.15">
      <c r="A361" s="2" t="str">
        <f>HYPERLINK("./new_k5/query_cmdrels_weight_analyze/0.4_0.3_0.3/ul_14191.xlsx","ul_14191")</f>
        <v>ul_14191</v>
      </c>
      <c r="B361" s="2">
        <v>0.33333333333333331</v>
      </c>
      <c r="C361" s="2">
        <v>0</v>
      </c>
      <c r="D361" s="2">
        <v>0.55555555555555547</v>
      </c>
      <c r="E361" s="2">
        <v>0.1111111111111111</v>
      </c>
      <c r="F361" s="2">
        <v>0.55555555555555547</v>
      </c>
      <c r="G361" s="2">
        <v>0.1111111111111111</v>
      </c>
      <c r="H361" s="4"/>
      <c r="I361" s="4"/>
      <c r="J361" s="4"/>
      <c r="K361" s="4"/>
      <c r="L361" s="4"/>
    </row>
    <row r="362" spans="1:12" x14ac:dyDescent="0.15">
      <c r="A362" s="2" t="str">
        <f>HYPERLINK("./new_k5/query_cmdrels_weight_analyze/0.4_0.3_0.3/ul_145929.xlsx","ul_145929")</f>
        <v>ul_145929</v>
      </c>
      <c r="B362" s="2">
        <v>0</v>
      </c>
      <c r="C362" s="2">
        <v>0</v>
      </c>
      <c r="D362" s="2">
        <v>0.16666666666666671</v>
      </c>
      <c r="E362" s="2">
        <v>0.25</v>
      </c>
      <c r="F362" s="2">
        <v>0.16666666666666671</v>
      </c>
      <c r="G362" s="2">
        <v>0.5</v>
      </c>
      <c r="H362" s="4"/>
      <c r="I362" s="4"/>
      <c r="J362" s="4"/>
      <c r="K362" s="4"/>
      <c r="L362" s="4"/>
    </row>
    <row r="363" spans="1:12" x14ac:dyDescent="0.15">
      <c r="A363" s="2" t="str">
        <f>HYPERLINK("./new_k5/query_cmdrels_weight_analyze/0.4_0.3_0.3/ul_148985.xlsx","ul_148985")</f>
        <v>ul_148985</v>
      </c>
      <c r="B363" s="2">
        <v>1</v>
      </c>
      <c r="C363" s="2">
        <v>1</v>
      </c>
      <c r="D363" s="2">
        <v>1</v>
      </c>
      <c r="E363" s="2">
        <v>1</v>
      </c>
      <c r="F363" s="2">
        <v>1</v>
      </c>
      <c r="G363" s="2">
        <v>1</v>
      </c>
      <c r="H363" s="4"/>
      <c r="I363" s="4"/>
      <c r="J363" s="4"/>
      <c r="K363" s="4"/>
      <c r="L363" s="4"/>
    </row>
    <row r="364" spans="1:12" x14ac:dyDescent="0.15">
      <c r="A364" s="2" t="str">
        <f>HYPERLINK("./new_k5/query_cmdrels_weight_analyze/0.4_0.3_0.3/ul_15405.xlsx","ul_15405")</f>
        <v>ul_15405</v>
      </c>
      <c r="B364" s="2">
        <v>0.25</v>
      </c>
      <c r="C364" s="2">
        <v>0.25</v>
      </c>
      <c r="D364" s="2">
        <v>0.41666666666666657</v>
      </c>
      <c r="E364" s="2">
        <v>0.5</v>
      </c>
      <c r="F364" s="2">
        <v>0.41666666666666657</v>
      </c>
      <c r="G364" s="2">
        <v>0.5</v>
      </c>
      <c r="H364" s="4"/>
      <c r="I364" s="4"/>
      <c r="J364" s="4"/>
      <c r="K364" s="4"/>
      <c r="L364" s="4"/>
    </row>
    <row r="365" spans="1:12" x14ac:dyDescent="0.15">
      <c r="A365" s="2" t="str">
        <f>HYPERLINK("./new_k5/query_cmdrels_weight_analyze/0.4_0.3_0.3/ul_155551.xlsx","ul_155551")</f>
        <v>ul_155551</v>
      </c>
      <c r="B365" s="2">
        <v>0</v>
      </c>
      <c r="C365" s="2">
        <v>0.5</v>
      </c>
      <c r="D365" s="2">
        <v>0</v>
      </c>
      <c r="E365" s="2">
        <v>1</v>
      </c>
      <c r="F365" s="2">
        <v>0</v>
      </c>
      <c r="G365" s="2">
        <v>1</v>
      </c>
      <c r="H365" s="4"/>
      <c r="I365" s="4"/>
      <c r="J365" s="4"/>
      <c r="K365" s="4"/>
      <c r="L365" s="4"/>
    </row>
    <row r="366" spans="1:12" x14ac:dyDescent="0.15">
      <c r="A366" s="2" t="str">
        <f>HYPERLINK("./new_k5/query_cmdrels_weight_analyze/0.4_0.3_0.3/ul_159672.xlsx","ul_159672")</f>
        <v>ul_159672</v>
      </c>
      <c r="B366" s="2">
        <v>0</v>
      </c>
      <c r="C366" s="2">
        <v>0.33333333333333331</v>
      </c>
      <c r="D366" s="2">
        <v>0</v>
      </c>
      <c r="E366" s="2">
        <v>0.66666666666666663</v>
      </c>
      <c r="F366" s="2">
        <v>8.3333333333333329E-2</v>
      </c>
      <c r="G366" s="2">
        <v>0.66666666666666663</v>
      </c>
      <c r="H366" s="4"/>
      <c r="I366" s="4"/>
      <c r="J366" s="4"/>
      <c r="K366" s="4"/>
      <c r="L366" s="4"/>
    </row>
    <row r="367" spans="1:12" x14ac:dyDescent="0.15">
      <c r="A367" s="2" t="str">
        <f>HYPERLINK("./new_k5/query_cmdrels_weight_analyze/0.4_0.3_0.3/ul_163845.xlsx","ul_163845")</f>
        <v>ul_163845</v>
      </c>
      <c r="B367" s="2">
        <v>0.25</v>
      </c>
      <c r="C367" s="2">
        <v>0</v>
      </c>
      <c r="D367" s="2">
        <v>0.25</v>
      </c>
      <c r="E367" s="2">
        <v>0.29166666666666657</v>
      </c>
      <c r="F367" s="2">
        <v>0.25</v>
      </c>
      <c r="G367" s="2">
        <v>0.47916666666666657</v>
      </c>
      <c r="H367" s="4"/>
      <c r="I367" s="4"/>
      <c r="J367" s="4"/>
      <c r="K367" s="4"/>
      <c r="L367" s="4"/>
    </row>
    <row r="368" spans="1:12" x14ac:dyDescent="0.15">
      <c r="A368" s="2" t="str">
        <f>HYPERLINK("./new_k5/query_cmdrels_weight_analyze/0.4_0.3_0.3/ul_16407.xlsx","ul_16407")</f>
        <v>ul_16407</v>
      </c>
      <c r="B368" s="2">
        <v>0.5</v>
      </c>
      <c r="C368" s="2">
        <v>0.5</v>
      </c>
      <c r="D368" s="2">
        <v>0.5</v>
      </c>
      <c r="E368" s="2">
        <v>0.5</v>
      </c>
      <c r="F368" s="2">
        <v>0.75</v>
      </c>
      <c r="G368" s="2">
        <v>0.5</v>
      </c>
      <c r="H368" s="4"/>
      <c r="I368" s="4"/>
      <c r="J368" s="4"/>
      <c r="K368" s="4"/>
      <c r="L368" s="4"/>
    </row>
    <row r="369" spans="1:12" x14ac:dyDescent="0.15">
      <c r="A369" s="2" t="str">
        <f>HYPERLINK("./new_k5/query_cmdrels_weight_analyze/0.4_0.3_0.3/ul_166558.xlsx","ul_166558")</f>
        <v>ul_166558</v>
      </c>
      <c r="B369" s="2">
        <v>0</v>
      </c>
      <c r="C369" s="2">
        <v>0</v>
      </c>
      <c r="D369" s="2">
        <v>0.125</v>
      </c>
      <c r="E369" s="2">
        <v>0.29166666666666657</v>
      </c>
      <c r="F369" s="2">
        <v>0.125</v>
      </c>
      <c r="G369" s="2">
        <v>0.29166666666666657</v>
      </c>
      <c r="H369" s="4"/>
      <c r="I369" s="4"/>
      <c r="J369" s="4"/>
      <c r="K369" s="4"/>
      <c r="L369" s="4"/>
    </row>
    <row r="370" spans="1:12" x14ac:dyDescent="0.15">
      <c r="A370" s="2" t="str">
        <f>HYPERLINK("./new_k5/query_cmdrels_weight_analyze/0.4_0.3_0.3/ul_171314.xlsx","ul_171314")</f>
        <v>ul_171314</v>
      </c>
      <c r="B370" s="2">
        <v>0.16666666666666671</v>
      </c>
      <c r="C370" s="2">
        <v>0.16666666666666671</v>
      </c>
      <c r="D370" s="2">
        <v>0.16666666666666671</v>
      </c>
      <c r="E370" s="2">
        <v>0.16666666666666671</v>
      </c>
      <c r="F370" s="2">
        <v>0.16666666666666671</v>
      </c>
      <c r="G370" s="2">
        <v>0.35</v>
      </c>
      <c r="H370" s="4"/>
      <c r="I370" s="4"/>
      <c r="J370" s="4"/>
      <c r="K370" s="4"/>
      <c r="L370" s="4"/>
    </row>
    <row r="371" spans="1:12" x14ac:dyDescent="0.15">
      <c r="A371" s="2" t="str">
        <f>HYPERLINK("./new_k5/query_cmdrels_weight_analyze/0.4_0.3_0.3/ul_182032.xlsx","ul_182032")</f>
        <v>ul_182032</v>
      </c>
      <c r="B371" s="2">
        <v>1</v>
      </c>
      <c r="C371" s="2">
        <v>0</v>
      </c>
      <c r="D371" s="2">
        <v>1</v>
      </c>
      <c r="E371" s="2">
        <v>0.33333333333333331</v>
      </c>
      <c r="F371" s="2">
        <v>1</v>
      </c>
      <c r="G371" s="2">
        <v>0.33333333333333331</v>
      </c>
      <c r="H371" s="4"/>
      <c r="I371" s="4"/>
      <c r="J371" s="4"/>
      <c r="K371" s="4"/>
      <c r="L371" s="4"/>
    </row>
    <row r="372" spans="1:12" x14ac:dyDescent="0.15">
      <c r="A372" s="2" t="str">
        <f>HYPERLINK("./new_k5/query_cmdrels_weight_analyze/0.4_0.3_0.3/ul_19344.xlsx","ul_19344")</f>
        <v>ul_19344</v>
      </c>
      <c r="B372" s="2">
        <v>0.33333333333333331</v>
      </c>
      <c r="C372" s="2">
        <v>0.33333333333333331</v>
      </c>
      <c r="D372" s="2">
        <v>0.66666666666666663</v>
      </c>
      <c r="E372" s="2">
        <v>0.55555555555555547</v>
      </c>
      <c r="F372" s="2">
        <v>0.66666666666666663</v>
      </c>
      <c r="G372" s="2">
        <v>0.55555555555555547</v>
      </c>
      <c r="H372" s="4"/>
      <c r="I372" s="4"/>
      <c r="J372" s="4"/>
      <c r="K372" s="4"/>
      <c r="L372" s="4"/>
    </row>
    <row r="373" spans="1:12" x14ac:dyDescent="0.15">
      <c r="A373" s="2" t="str">
        <f>HYPERLINK("./new_k5/query_cmdrels_weight_analyze/0.4_0.3_0.3/ul_19369.xlsx","ul_19369")</f>
        <v>ul_19369</v>
      </c>
      <c r="B373" s="2">
        <v>0.2</v>
      </c>
      <c r="C373" s="2">
        <v>0</v>
      </c>
      <c r="D373" s="2">
        <v>0.2</v>
      </c>
      <c r="E373" s="2">
        <v>6.6666666666666666E-2</v>
      </c>
      <c r="F373" s="2">
        <v>0.2</v>
      </c>
      <c r="G373" s="2">
        <v>0.16666666666666671</v>
      </c>
      <c r="H373" s="4"/>
      <c r="I373" s="4"/>
      <c r="J373" s="4"/>
      <c r="K373" s="4"/>
      <c r="L373" s="4"/>
    </row>
    <row r="374" spans="1:12" x14ac:dyDescent="0.15">
      <c r="A374" s="2" t="str">
        <f>HYPERLINK("./new_k5/query_cmdrels_weight_analyze/0.4_0.3_0.3/ul_19485.xlsx","ul_19485")</f>
        <v>ul_19485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0.25</v>
      </c>
      <c r="H374" s="4"/>
      <c r="I374" s="4"/>
      <c r="J374" s="4"/>
      <c r="K374" s="4"/>
      <c r="L374" s="4"/>
    </row>
    <row r="375" spans="1:12" x14ac:dyDescent="0.15">
      <c r="A375" s="2" t="str">
        <f>HYPERLINK("./new_k5/query_cmdrels_weight_analyze/0.4_0.3_0.3/ul_20370.xlsx","ul_20370")</f>
        <v>ul_20370</v>
      </c>
      <c r="B375" s="2">
        <v>0</v>
      </c>
      <c r="C375" s="2">
        <v>0</v>
      </c>
      <c r="D375" s="2">
        <v>0</v>
      </c>
      <c r="E375" s="2">
        <v>0.16666666666666671</v>
      </c>
      <c r="F375" s="2">
        <v>0</v>
      </c>
      <c r="G375" s="2">
        <v>0.16666666666666671</v>
      </c>
      <c r="H375" s="4"/>
      <c r="I375" s="4"/>
      <c r="J375" s="4"/>
      <c r="K375" s="4"/>
      <c r="L375" s="4"/>
    </row>
    <row r="376" spans="1:12" x14ac:dyDescent="0.15">
      <c r="A376" s="2" t="str">
        <f>HYPERLINK("./new_k5/query_cmdrels_weight_analyze/0.4_0.3_0.3/ul_211817.xlsx","ul_211817")</f>
        <v>ul_211817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4"/>
      <c r="I376" s="4"/>
      <c r="J376" s="4"/>
      <c r="K376" s="4"/>
      <c r="L376" s="4"/>
    </row>
    <row r="377" spans="1:12" x14ac:dyDescent="0.15">
      <c r="A377" s="2" t="str">
        <f>HYPERLINK("./new_k5/query_cmdrels_weight_analyze/0.4_0.3_0.3/ul_212925.xlsx","ul_212925")</f>
        <v>ul_212925</v>
      </c>
      <c r="B377" s="2">
        <v>0</v>
      </c>
      <c r="C377" s="2">
        <v>0</v>
      </c>
      <c r="D377" s="2">
        <v>0</v>
      </c>
      <c r="E377" s="2">
        <v>0.33333333333333331</v>
      </c>
      <c r="F377" s="2">
        <v>0</v>
      </c>
      <c r="G377" s="2">
        <v>0.33333333333333331</v>
      </c>
      <c r="H377" s="4"/>
      <c r="I377" s="4"/>
      <c r="J377" s="4"/>
      <c r="K377" s="4"/>
      <c r="L377" s="4"/>
    </row>
    <row r="378" spans="1:12" x14ac:dyDescent="0.15">
      <c r="A378" s="2" t="str">
        <f>HYPERLINK("./new_k5/query_cmdrels_weight_analyze/0.4_0.3_0.3/ul_21471.xlsx","ul_21471")</f>
        <v>ul_21471</v>
      </c>
      <c r="B378" s="2">
        <v>0</v>
      </c>
      <c r="C378" s="2">
        <v>0.33333333333333331</v>
      </c>
      <c r="D378" s="2">
        <v>0</v>
      </c>
      <c r="E378" s="2">
        <v>0.33333333333333331</v>
      </c>
      <c r="F378" s="2">
        <v>8.3333333333333329E-2</v>
      </c>
      <c r="G378" s="2">
        <v>0.33333333333333331</v>
      </c>
      <c r="H378" s="4"/>
      <c r="I378" s="4"/>
      <c r="J378" s="4"/>
      <c r="K378" s="4"/>
      <c r="L378" s="4"/>
    </row>
    <row r="379" spans="1:12" x14ac:dyDescent="0.15">
      <c r="A379" s="2" t="str">
        <f>HYPERLINK("./new_k5/query_cmdrels_weight_analyze/0.4_0.3_0.3/ul_22545.xlsx","ul_22545")</f>
        <v>ul_22545</v>
      </c>
      <c r="B379" s="2">
        <v>0</v>
      </c>
      <c r="C379" s="2">
        <v>1</v>
      </c>
      <c r="D379" s="2">
        <v>0</v>
      </c>
      <c r="E379" s="2">
        <v>1</v>
      </c>
      <c r="F379" s="2">
        <v>0</v>
      </c>
      <c r="G379" s="2">
        <v>1</v>
      </c>
      <c r="H379" s="4"/>
      <c r="I379" s="4"/>
      <c r="J379" s="4"/>
      <c r="K379" s="4"/>
      <c r="L379" s="4"/>
    </row>
    <row r="380" spans="1:12" x14ac:dyDescent="0.15">
      <c r="A380" s="2" t="str">
        <f>HYPERLINK("./new_k5/query_cmdrels_weight_analyze/0.4_0.3_0.3/ul_230481.xlsx","ul_230481")</f>
        <v>ul_230481</v>
      </c>
      <c r="B380" s="2">
        <v>0.33333333333333331</v>
      </c>
      <c r="C380" s="2">
        <v>0.33333333333333331</v>
      </c>
      <c r="D380" s="2">
        <v>0.33333333333333331</v>
      </c>
      <c r="E380" s="2">
        <v>0.55555555555555547</v>
      </c>
      <c r="F380" s="2">
        <v>0.33333333333333331</v>
      </c>
      <c r="G380" s="2">
        <v>0.80555555555555547</v>
      </c>
      <c r="H380" s="4"/>
      <c r="I380" s="4"/>
      <c r="J380" s="4"/>
      <c r="K380" s="4"/>
      <c r="L380" s="4"/>
    </row>
    <row r="381" spans="1:12" x14ac:dyDescent="0.15">
      <c r="A381" s="2" t="str">
        <f>HYPERLINK("./new_k5/query_cmdrels_weight_analyze/0.4_0.3_0.3/ul_230673.xlsx","ul_230673")</f>
        <v>ul_230673</v>
      </c>
      <c r="B381" s="2">
        <v>0</v>
      </c>
      <c r="C381" s="2">
        <v>0</v>
      </c>
      <c r="D381" s="2">
        <v>0</v>
      </c>
      <c r="E381" s="2">
        <v>0.25</v>
      </c>
      <c r="F381" s="2">
        <v>0</v>
      </c>
      <c r="G381" s="2">
        <v>0.5</v>
      </c>
      <c r="H381" s="4"/>
      <c r="I381" s="4"/>
      <c r="J381" s="4"/>
      <c r="K381" s="4"/>
      <c r="L381" s="4"/>
    </row>
    <row r="382" spans="1:12" x14ac:dyDescent="0.15">
      <c r="A382" s="2" t="str">
        <f>HYPERLINK("./new_k5/query_cmdrels_weight_analyze/0.4_0.3_0.3/ul_230800.xlsx","ul_230800")</f>
        <v>ul_230800</v>
      </c>
      <c r="B382" s="2">
        <v>1</v>
      </c>
      <c r="C382" s="2">
        <v>1</v>
      </c>
      <c r="D382" s="2">
        <v>1</v>
      </c>
      <c r="E382" s="2">
        <v>1</v>
      </c>
      <c r="F382" s="2">
        <v>1</v>
      </c>
      <c r="G382" s="2">
        <v>1</v>
      </c>
      <c r="H382" s="4"/>
      <c r="I382" s="4"/>
      <c r="J382" s="4"/>
      <c r="K382" s="4"/>
      <c r="L382" s="4"/>
    </row>
    <row r="383" spans="1:12" x14ac:dyDescent="0.15">
      <c r="A383" s="2" t="str">
        <f>HYPERLINK("./new_k5/query_cmdrels_weight_analyze/0.4_0.3_0.3/ul_232384.xlsx","ul_232384")</f>
        <v>ul_232384</v>
      </c>
      <c r="B383" s="2">
        <v>0</v>
      </c>
      <c r="C383" s="2">
        <v>0.5</v>
      </c>
      <c r="D383" s="2">
        <v>0</v>
      </c>
      <c r="E383" s="2">
        <v>0.83333333333333326</v>
      </c>
      <c r="F383" s="2">
        <v>0</v>
      </c>
      <c r="G383" s="2">
        <v>0.83333333333333326</v>
      </c>
      <c r="H383" s="4"/>
      <c r="I383" s="4"/>
      <c r="J383" s="4"/>
      <c r="K383" s="4"/>
      <c r="L383" s="4"/>
    </row>
    <row r="384" spans="1:12" x14ac:dyDescent="0.15">
      <c r="A384" s="2" t="str">
        <f>HYPERLINK("./new_k5/query_cmdrels_weight_analyze/0.4_0.3_0.3/ul_24441.xlsx","ul_24441")</f>
        <v>ul_24441</v>
      </c>
      <c r="B384" s="2">
        <v>0</v>
      </c>
      <c r="C384" s="2">
        <v>0</v>
      </c>
      <c r="D384" s="2">
        <v>0</v>
      </c>
      <c r="E384" s="2">
        <v>0.25</v>
      </c>
      <c r="F384" s="2">
        <v>0</v>
      </c>
      <c r="G384" s="2">
        <v>0.25</v>
      </c>
      <c r="H384" s="4"/>
      <c r="I384" s="4"/>
      <c r="J384" s="4"/>
      <c r="K384" s="4"/>
      <c r="L384" s="4"/>
    </row>
    <row r="385" spans="1:12" x14ac:dyDescent="0.15">
      <c r="A385" s="2" t="str">
        <f>HYPERLINK("./new_k5/query_cmdrels_weight_analyze/0.4_0.3_0.3/ul_246535.xlsx","ul_246535")</f>
        <v>ul_246535</v>
      </c>
      <c r="B385" s="2">
        <v>0.2</v>
      </c>
      <c r="C385" s="2">
        <v>0.2</v>
      </c>
      <c r="D385" s="2">
        <v>0.2</v>
      </c>
      <c r="E385" s="2">
        <v>0.2</v>
      </c>
      <c r="F385" s="2">
        <v>0.2</v>
      </c>
      <c r="G385" s="2">
        <v>0.42</v>
      </c>
      <c r="H385" s="4"/>
      <c r="I385" s="4"/>
      <c r="J385" s="4"/>
      <c r="K385" s="4"/>
      <c r="L385" s="4"/>
    </row>
    <row r="386" spans="1:12" x14ac:dyDescent="0.15">
      <c r="A386" s="2" t="str">
        <f>HYPERLINK("./new_k5/query_cmdrels_weight_analyze/0.4_0.3_0.3/ul_259791.xlsx","ul_259791")</f>
        <v>ul_259791</v>
      </c>
      <c r="B386" s="2">
        <v>1</v>
      </c>
      <c r="C386" s="2">
        <v>0</v>
      </c>
      <c r="D386" s="2">
        <v>1</v>
      </c>
      <c r="E386" s="2">
        <v>0.33333333333333331</v>
      </c>
      <c r="F386" s="2">
        <v>1</v>
      </c>
      <c r="G386" s="2">
        <v>0.33333333333333331</v>
      </c>
      <c r="H386" s="4"/>
      <c r="I386" s="4"/>
      <c r="J386" s="4"/>
      <c r="K386" s="4"/>
      <c r="L386" s="4"/>
    </row>
    <row r="387" spans="1:12" x14ac:dyDescent="0.15">
      <c r="A387" s="2" t="str">
        <f>HYPERLINK("./new_k5/query_cmdrels_weight_analyze/0.4_0.3_0.3/ul_273971.xlsx","ul_273971")</f>
        <v>ul_273971</v>
      </c>
      <c r="B387" s="2">
        <v>0.16666666666666671</v>
      </c>
      <c r="C387" s="2">
        <v>0.16666666666666671</v>
      </c>
      <c r="D387" s="2">
        <v>0.33333333333333331</v>
      </c>
      <c r="E387" s="2">
        <v>0.16666666666666671</v>
      </c>
      <c r="F387" s="2">
        <v>0.43333333333333329</v>
      </c>
      <c r="G387" s="2">
        <v>0.25</v>
      </c>
      <c r="H387" s="4"/>
      <c r="I387" s="4"/>
      <c r="J387" s="4"/>
      <c r="K387" s="4"/>
      <c r="L387" s="4"/>
    </row>
    <row r="388" spans="1:12" x14ac:dyDescent="0.15">
      <c r="A388" s="2" t="str">
        <f>HYPERLINK("./new_k5/query_cmdrels_weight_analyze/0.4_0.3_0.3/ul_28553.xlsx","ul_28553")</f>
        <v>ul_28553</v>
      </c>
      <c r="B388" s="2">
        <v>0.25</v>
      </c>
      <c r="C388" s="2">
        <v>0</v>
      </c>
      <c r="D388" s="2">
        <v>0.5</v>
      </c>
      <c r="E388" s="2">
        <v>0.125</v>
      </c>
      <c r="F388" s="2">
        <v>0.5</v>
      </c>
      <c r="G388" s="2">
        <v>0.125</v>
      </c>
      <c r="H388" s="4"/>
      <c r="I388" s="4"/>
      <c r="J388" s="4"/>
      <c r="K388" s="4"/>
      <c r="L388" s="4"/>
    </row>
    <row r="389" spans="1:12" x14ac:dyDescent="0.15">
      <c r="A389" s="2" t="str">
        <f>HYPERLINK("./new_k5/query_cmdrels_weight_analyze/0.4_0.3_0.3/ul_288521.xlsx","ul_288521")</f>
        <v>ul_288521</v>
      </c>
      <c r="B389" s="2">
        <v>0</v>
      </c>
      <c r="C389" s="2">
        <v>0.5</v>
      </c>
      <c r="D389" s="2">
        <v>0</v>
      </c>
      <c r="E389" s="2">
        <v>1</v>
      </c>
      <c r="F389" s="2">
        <v>0</v>
      </c>
      <c r="G389" s="2">
        <v>1</v>
      </c>
      <c r="H389" s="4"/>
      <c r="I389" s="4"/>
      <c r="J389" s="4"/>
      <c r="K389" s="4"/>
      <c r="L389" s="4"/>
    </row>
    <row r="390" spans="1:12" x14ac:dyDescent="0.15">
      <c r="A390" s="2" t="str">
        <f>HYPERLINK("./new_k5/query_cmdrels_weight_analyze/0.4_0.3_0.3/ul_32290.xlsx","ul_32290")</f>
        <v>ul_32290</v>
      </c>
      <c r="B390" s="2">
        <v>0</v>
      </c>
      <c r="C390" s="2">
        <v>0</v>
      </c>
      <c r="D390" s="2">
        <v>0</v>
      </c>
      <c r="E390" s="2">
        <v>0.125</v>
      </c>
      <c r="F390" s="2">
        <v>0</v>
      </c>
      <c r="G390" s="2">
        <v>0.125</v>
      </c>
      <c r="H390" s="4"/>
      <c r="I390" s="4"/>
      <c r="J390" s="4"/>
      <c r="K390" s="4"/>
      <c r="L390" s="4"/>
    </row>
    <row r="391" spans="1:12" x14ac:dyDescent="0.15">
      <c r="A391" s="2" t="str">
        <f>HYPERLINK("./new_k5/query_cmdrels_weight_analyze/0.4_0.3_0.3/ul_328882.xlsx","ul_328882")</f>
        <v>ul_328882</v>
      </c>
      <c r="B391" s="2">
        <v>0</v>
      </c>
      <c r="C391" s="2">
        <v>0</v>
      </c>
      <c r="D391" s="2">
        <v>0</v>
      </c>
      <c r="E391" s="2">
        <v>0.33333333333333331</v>
      </c>
      <c r="F391" s="2">
        <v>0</v>
      </c>
      <c r="G391" s="2">
        <v>0.33333333333333331</v>
      </c>
      <c r="H391" s="4"/>
      <c r="I391" s="4"/>
      <c r="J391" s="4"/>
      <c r="K391" s="4"/>
      <c r="L391" s="4"/>
    </row>
    <row r="392" spans="1:12" x14ac:dyDescent="0.15">
      <c r="A392" s="2" t="str">
        <f>HYPERLINK("./new_k5/query_cmdrels_weight_analyze/0.4_0.3_0.3/ul_35131.xlsx","ul_35131")</f>
        <v>ul_35131</v>
      </c>
      <c r="B392" s="2">
        <v>0.33333333333333331</v>
      </c>
      <c r="C392" s="2">
        <v>0.33333333333333331</v>
      </c>
      <c r="D392" s="2">
        <v>0.66666666666666663</v>
      </c>
      <c r="E392" s="2">
        <v>0.66666666666666663</v>
      </c>
      <c r="F392" s="2">
        <v>0.66666666666666663</v>
      </c>
      <c r="G392" s="2">
        <v>0.91666666666666663</v>
      </c>
      <c r="H392" s="4"/>
      <c r="I392" s="4"/>
      <c r="J392" s="4"/>
      <c r="K392" s="4"/>
      <c r="L392" s="4"/>
    </row>
    <row r="393" spans="1:12" x14ac:dyDescent="0.15">
      <c r="A393" s="2" t="str">
        <f>HYPERLINK("./new_k5/query_cmdrels_weight_analyze/0.4_0.3_0.3/ul_35333.xlsx","ul_35333")</f>
        <v>ul_35333</v>
      </c>
      <c r="B393" s="2">
        <v>0.5</v>
      </c>
      <c r="C393" s="2">
        <v>0.5</v>
      </c>
      <c r="D393" s="2">
        <v>0.5</v>
      </c>
      <c r="E393" s="2">
        <v>0.5</v>
      </c>
      <c r="F393" s="2">
        <v>0.5</v>
      </c>
      <c r="G393" s="2">
        <v>0.5</v>
      </c>
      <c r="H393" s="4"/>
      <c r="I393" s="4"/>
      <c r="J393" s="4"/>
      <c r="K393" s="4"/>
      <c r="L393" s="4"/>
    </row>
    <row r="394" spans="1:12" x14ac:dyDescent="0.15">
      <c r="A394" s="2" t="str">
        <f>HYPERLINK("./new_k5/query_cmdrels_weight_analyze/0.4_0.3_0.3/ul_35711.xlsx","ul_35711")</f>
        <v>ul_35711</v>
      </c>
      <c r="B394" s="2">
        <v>0.5</v>
      </c>
      <c r="C394" s="2">
        <v>0</v>
      </c>
      <c r="D394" s="2">
        <v>0.5</v>
      </c>
      <c r="E394" s="2">
        <v>0.25</v>
      </c>
      <c r="F394" s="2">
        <v>0.5</v>
      </c>
      <c r="G394" s="2">
        <v>0.25</v>
      </c>
      <c r="H394" s="4"/>
      <c r="I394" s="4"/>
      <c r="J394" s="4"/>
      <c r="K394" s="4"/>
      <c r="L394" s="4"/>
    </row>
    <row r="395" spans="1:12" x14ac:dyDescent="0.15">
      <c r="A395" s="2" t="str">
        <f>HYPERLINK("./new_k5/query_cmdrels_weight_analyze/0.4_0.3_0.3/ul_3575.xlsx","ul_3575")</f>
        <v>ul_3575</v>
      </c>
      <c r="B395" s="2">
        <v>0</v>
      </c>
      <c r="C395" s="2">
        <v>0</v>
      </c>
      <c r="D395" s="2">
        <v>8.3333333333333329E-2</v>
      </c>
      <c r="E395" s="2">
        <v>8.3333333333333329E-2</v>
      </c>
      <c r="F395" s="2">
        <v>8.3333333333333329E-2</v>
      </c>
      <c r="G395" s="2">
        <v>8.3333333333333329E-2</v>
      </c>
      <c r="H395" s="4"/>
      <c r="I395" s="4"/>
      <c r="J395" s="4"/>
      <c r="K395" s="4"/>
      <c r="L395" s="4"/>
    </row>
    <row r="396" spans="1:12" x14ac:dyDescent="0.15">
      <c r="A396" s="2" t="str">
        <f>HYPERLINK("./new_k5/query_cmdrels_weight_analyze/0.4_0.3_0.3/ul_35832.xlsx","ul_35832")</f>
        <v>ul_35832</v>
      </c>
      <c r="B396" s="2">
        <v>0.5</v>
      </c>
      <c r="C396" s="2">
        <v>0.5</v>
      </c>
      <c r="D396" s="2">
        <v>0.5</v>
      </c>
      <c r="E396" s="2">
        <v>0.83333333333333326</v>
      </c>
      <c r="F396" s="2">
        <v>0.5</v>
      </c>
      <c r="G396" s="2">
        <v>0.83333333333333326</v>
      </c>
      <c r="H396" s="4"/>
      <c r="I396" s="4"/>
      <c r="J396" s="4"/>
      <c r="K396" s="4"/>
      <c r="L396" s="4"/>
    </row>
    <row r="397" spans="1:12" x14ac:dyDescent="0.15">
      <c r="A397" s="2" t="str">
        <f>HYPERLINK("./new_k5/query_cmdrels_weight_analyze/0.4_0.3_0.3/ul_370318.xlsx","ul_370318")</f>
        <v>ul_370318</v>
      </c>
      <c r="B397" s="2">
        <v>0.14285714285714279</v>
      </c>
      <c r="C397" s="2">
        <v>0.14285714285714279</v>
      </c>
      <c r="D397" s="2">
        <v>0.14285714285714279</v>
      </c>
      <c r="E397" s="2">
        <v>0.23809523809523811</v>
      </c>
      <c r="F397" s="2">
        <v>0.14285714285714279</v>
      </c>
      <c r="G397" s="2">
        <v>0.34523809523809518</v>
      </c>
      <c r="H397" s="4"/>
      <c r="I397" s="4"/>
      <c r="J397" s="4"/>
      <c r="K397" s="4"/>
      <c r="L397" s="4"/>
    </row>
    <row r="398" spans="1:12" x14ac:dyDescent="0.15">
      <c r="A398" s="2" t="str">
        <f>HYPERLINK("./new_k5/query_cmdrels_weight_analyze/0.4_0.3_0.3/ul_37329.xlsx","ul_37329")</f>
        <v>ul_37329</v>
      </c>
      <c r="B398" s="2">
        <v>0.33333333333333331</v>
      </c>
      <c r="C398" s="2">
        <v>0.33333333333333331</v>
      </c>
      <c r="D398" s="2">
        <v>0.33333333333333331</v>
      </c>
      <c r="E398" s="2">
        <v>0.66666666666666663</v>
      </c>
      <c r="F398" s="2">
        <v>0.33333333333333331</v>
      </c>
      <c r="G398" s="2">
        <v>0.66666666666666663</v>
      </c>
      <c r="H398" s="4"/>
      <c r="I398" s="4"/>
      <c r="J398" s="4"/>
      <c r="K398" s="4"/>
      <c r="L398" s="4"/>
    </row>
    <row r="399" spans="1:12" x14ac:dyDescent="0.15">
      <c r="A399" s="2" t="str">
        <f>HYPERLINK("./new_k5/query_cmdrels_weight_analyze/0.4_0.3_0.3/ul_38209.xlsx","ul_38209")</f>
        <v>ul_38209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4"/>
      <c r="I399" s="4"/>
      <c r="J399" s="4"/>
      <c r="K399" s="4"/>
      <c r="L399" s="4"/>
    </row>
    <row r="400" spans="1:12" x14ac:dyDescent="0.15">
      <c r="A400" s="2" t="str">
        <f>HYPERLINK("./new_k5/query_cmdrels_weight_analyze/0.4_0.3_0.3/ul_41246.xlsx","ul_41246")</f>
        <v>ul_41246</v>
      </c>
      <c r="B400" s="2">
        <v>0.5</v>
      </c>
      <c r="C400" s="2">
        <v>0.5</v>
      </c>
      <c r="D400" s="2">
        <v>0.5</v>
      </c>
      <c r="E400" s="2">
        <v>0.5</v>
      </c>
      <c r="F400" s="2">
        <v>0.5</v>
      </c>
      <c r="G400" s="2">
        <v>0.5</v>
      </c>
      <c r="H400" s="4"/>
      <c r="I400" s="4"/>
      <c r="J400" s="4"/>
      <c r="K400" s="4"/>
      <c r="L400" s="4"/>
    </row>
    <row r="401" spans="1:12" x14ac:dyDescent="0.15">
      <c r="A401" s="2" t="str">
        <f>HYPERLINK("./new_k5/query_cmdrels_weight_analyze/0.4_0.3_0.3/ul_41362.xlsx","ul_41362")</f>
        <v>ul_41362</v>
      </c>
      <c r="B401" s="2">
        <v>0</v>
      </c>
      <c r="C401" s="2">
        <v>0</v>
      </c>
      <c r="D401" s="2">
        <v>0</v>
      </c>
      <c r="E401" s="2">
        <v>8.3333333333333329E-2</v>
      </c>
      <c r="F401" s="2">
        <v>0</v>
      </c>
      <c r="G401" s="2">
        <v>8.3333333333333329E-2</v>
      </c>
      <c r="H401" s="4"/>
      <c r="I401" s="4"/>
      <c r="J401" s="4"/>
      <c r="K401" s="4"/>
      <c r="L401" s="4"/>
    </row>
    <row r="402" spans="1:12" x14ac:dyDescent="0.15">
      <c r="A402" s="2" t="str">
        <f>HYPERLINK("./new_k5/query_cmdrels_weight_analyze/0.4_0.3_0.3/ul_48200.xlsx","ul_48200")</f>
        <v>ul_48200</v>
      </c>
      <c r="B402" s="2">
        <v>0</v>
      </c>
      <c r="C402" s="2">
        <v>0.5</v>
      </c>
      <c r="D402" s="2">
        <v>0</v>
      </c>
      <c r="E402" s="2">
        <v>1</v>
      </c>
      <c r="F402" s="2">
        <v>0</v>
      </c>
      <c r="G402" s="2">
        <v>1</v>
      </c>
      <c r="H402" s="4"/>
      <c r="I402" s="4"/>
      <c r="J402" s="4"/>
      <c r="K402" s="4"/>
      <c r="L402" s="4"/>
    </row>
    <row r="403" spans="1:12" x14ac:dyDescent="0.15">
      <c r="A403" s="2" t="str">
        <f>HYPERLINK("./new_k5/query_cmdrels_weight_analyze/0.4_0.3_0.3/ul_50098.xlsx","ul_50098")</f>
        <v>ul_50098</v>
      </c>
      <c r="B403" s="2">
        <v>0</v>
      </c>
      <c r="C403" s="2">
        <v>0.1</v>
      </c>
      <c r="D403" s="2">
        <v>0.1166666666666667</v>
      </c>
      <c r="E403" s="2">
        <v>0.16666666666666671</v>
      </c>
      <c r="F403" s="2">
        <v>0.1166666666666667</v>
      </c>
      <c r="G403" s="2">
        <v>0.24166666666666661</v>
      </c>
      <c r="H403" s="4"/>
      <c r="I403" s="4"/>
      <c r="J403" s="4"/>
      <c r="K403" s="4"/>
      <c r="L403" s="4"/>
    </row>
    <row r="404" spans="1:12" x14ac:dyDescent="0.15">
      <c r="A404" s="2" t="str">
        <f>HYPERLINK("./new_k5/query_cmdrels_weight_analyze/0.4_0.3_0.3/ul_50785.xlsx","ul_50785")</f>
        <v>ul_50785</v>
      </c>
      <c r="B404" s="2">
        <v>0.25</v>
      </c>
      <c r="C404" s="2">
        <v>0.25</v>
      </c>
      <c r="D404" s="2">
        <v>0.25</v>
      </c>
      <c r="E404" s="2">
        <v>0.25</v>
      </c>
      <c r="F404" s="2">
        <v>0.25</v>
      </c>
      <c r="G404" s="2">
        <v>0.25</v>
      </c>
      <c r="H404" s="4"/>
      <c r="I404" s="4"/>
      <c r="J404" s="4"/>
      <c r="K404" s="4"/>
      <c r="L404" s="4"/>
    </row>
    <row r="405" spans="1:12" x14ac:dyDescent="0.15">
      <c r="A405" s="2" t="str">
        <f>HYPERLINK("./new_k5/query_cmdrels_weight_analyze/0.4_0.3_0.3/ul_5085.xlsx","ul_5085")</f>
        <v>ul_5085</v>
      </c>
      <c r="B405" s="2">
        <v>0</v>
      </c>
      <c r="C405" s="2">
        <v>0.5</v>
      </c>
      <c r="D405" s="2">
        <v>0.25</v>
      </c>
      <c r="E405" s="2">
        <v>0.5</v>
      </c>
      <c r="F405" s="2">
        <v>0.25</v>
      </c>
      <c r="G405" s="2">
        <v>0.5</v>
      </c>
      <c r="H405" s="4"/>
      <c r="I405" s="4"/>
      <c r="J405" s="4"/>
      <c r="K405" s="4"/>
      <c r="L405" s="4"/>
    </row>
    <row r="406" spans="1:12" x14ac:dyDescent="0.15">
      <c r="A406" s="2" t="str">
        <f>HYPERLINK("./new_k5/query_cmdrels_weight_analyze/0.4_0.3_0.3/ul_53737.xlsx","ul_53737")</f>
        <v>ul_53737</v>
      </c>
      <c r="B406" s="2">
        <v>0.5</v>
      </c>
      <c r="C406" s="2">
        <v>0.5</v>
      </c>
      <c r="D406" s="2">
        <v>0.5</v>
      </c>
      <c r="E406" s="2">
        <v>0.5</v>
      </c>
      <c r="F406" s="2">
        <v>0.5</v>
      </c>
      <c r="G406" s="2">
        <v>0.5</v>
      </c>
      <c r="H406" s="4"/>
      <c r="I406" s="4"/>
      <c r="J406" s="4"/>
      <c r="K406" s="4"/>
      <c r="L406" s="4"/>
    </row>
    <row r="407" spans="1:12" x14ac:dyDescent="0.15">
      <c r="A407" s="2" t="str">
        <f>HYPERLINK("./new_k5/query_cmdrels_weight_analyze/0.4_0.3_0.3/ul_55125.xlsx","ul_55125")</f>
        <v>ul_55125</v>
      </c>
      <c r="B407" s="2">
        <v>0.5</v>
      </c>
      <c r="C407" s="2">
        <v>0</v>
      </c>
      <c r="D407" s="2">
        <v>0.5</v>
      </c>
      <c r="E407" s="2">
        <v>0.25</v>
      </c>
      <c r="F407" s="2">
        <v>0.5</v>
      </c>
      <c r="G407" s="2">
        <v>0.25</v>
      </c>
      <c r="H407" s="4"/>
      <c r="I407" s="4"/>
      <c r="J407" s="4"/>
      <c r="K407" s="4"/>
      <c r="L407" s="4"/>
    </row>
    <row r="408" spans="1:12" x14ac:dyDescent="0.15">
      <c r="A408" s="2" t="str">
        <f>HYPERLINK("./new_k5/query_cmdrels_weight_analyze/0.4_0.3_0.3/ul_56453.xlsx","ul_56453")</f>
        <v>ul_56453</v>
      </c>
      <c r="B408" s="2">
        <v>0</v>
      </c>
      <c r="C408" s="2">
        <v>0.25</v>
      </c>
      <c r="D408" s="2">
        <v>8.3333333333333329E-2</v>
      </c>
      <c r="E408" s="2">
        <v>0.41666666666666657</v>
      </c>
      <c r="F408" s="2">
        <v>8.3333333333333329E-2</v>
      </c>
      <c r="G408" s="2">
        <v>0.41666666666666657</v>
      </c>
      <c r="H408" s="4"/>
      <c r="I408" s="4"/>
      <c r="J408" s="4"/>
      <c r="K408" s="4"/>
      <c r="L408" s="4"/>
    </row>
    <row r="409" spans="1:12" x14ac:dyDescent="0.15">
      <c r="A409" s="2" t="str">
        <f>HYPERLINK("./new_k5/query_cmdrels_weight_analyze/0.4_0.3_0.3/ul_63648.xlsx","ul_63648")</f>
        <v>ul_63648</v>
      </c>
      <c r="B409" s="2">
        <v>0</v>
      </c>
      <c r="C409" s="2">
        <v>0</v>
      </c>
      <c r="D409" s="2">
        <v>0.125</v>
      </c>
      <c r="E409" s="2">
        <v>0.125</v>
      </c>
      <c r="F409" s="2">
        <v>0.25</v>
      </c>
      <c r="G409" s="2">
        <v>0.125</v>
      </c>
      <c r="H409" s="4"/>
      <c r="I409" s="4"/>
      <c r="J409" s="4"/>
      <c r="K409" s="4"/>
      <c r="L409" s="4"/>
    </row>
    <row r="410" spans="1:12" x14ac:dyDescent="0.15">
      <c r="A410" s="2" t="str">
        <f>HYPERLINK("./new_k5/query_cmdrels_weight_analyze/0.4_0.3_0.3/ul_6402.xlsx","ul_6402")</f>
        <v>ul_6402</v>
      </c>
      <c r="B410" s="2">
        <v>0.33333333333333331</v>
      </c>
      <c r="C410" s="2">
        <v>0.33333333333333331</v>
      </c>
      <c r="D410" s="2">
        <v>0.33333333333333331</v>
      </c>
      <c r="E410" s="2">
        <v>0.33333333333333331</v>
      </c>
      <c r="F410" s="2">
        <v>0.33333333333333331</v>
      </c>
      <c r="G410" s="2">
        <v>0.33333333333333331</v>
      </c>
      <c r="H410" s="4"/>
      <c r="I410" s="4"/>
      <c r="J410" s="4"/>
      <c r="K410" s="4"/>
      <c r="L410" s="4"/>
    </row>
    <row r="411" spans="1:12" x14ac:dyDescent="0.15">
      <c r="A411" s="2" t="str">
        <f>HYPERLINK("./new_k5/query_cmdrels_weight_analyze/0.4_0.3_0.3/ul_65106.xlsx","ul_65106")</f>
        <v>ul_65106</v>
      </c>
      <c r="B411" s="2">
        <v>0.33333333333333331</v>
      </c>
      <c r="C411" s="2">
        <v>0.33333333333333331</v>
      </c>
      <c r="D411" s="2">
        <v>1</v>
      </c>
      <c r="E411" s="2">
        <v>0.66666666666666663</v>
      </c>
      <c r="F411" s="2">
        <v>1</v>
      </c>
      <c r="G411" s="2">
        <v>0.66666666666666663</v>
      </c>
      <c r="H411" s="4"/>
      <c r="I411" s="4"/>
      <c r="J411" s="4"/>
      <c r="K411" s="4"/>
      <c r="L411" s="4"/>
    </row>
    <row r="412" spans="1:12" x14ac:dyDescent="0.15">
      <c r="A412" s="2" t="str">
        <f>HYPERLINK("./new_k5/query_cmdrels_weight_analyze/0.4_0.3_0.3/ul_65932.xlsx","ul_65932")</f>
        <v>ul_65932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4"/>
      <c r="I412" s="4"/>
      <c r="J412" s="4"/>
      <c r="K412" s="4"/>
      <c r="L412" s="4"/>
    </row>
    <row r="413" spans="1:12" x14ac:dyDescent="0.15">
      <c r="A413" s="2" t="str">
        <f>HYPERLINK("./new_k5/query_cmdrels_weight_analyze/0.4_0.3_0.3/ul_6596.xlsx","ul_6596")</f>
        <v>ul_6596</v>
      </c>
      <c r="B413" s="2">
        <v>0.2</v>
      </c>
      <c r="C413" s="2">
        <v>0.2</v>
      </c>
      <c r="D413" s="2">
        <v>0.6</v>
      </c>
      <c r="E413" s="2">
        <v>0.4</v>
      </c>
      <c r="F413" s="2">
        <v>0.6</v>
      </c>
      <c r="G413" s="2">
        <v>0.71</v>
      </c>
      <c r="H413" s="4"/>
      <c r="I413" s="4"/>
      <c r="J413" s="4"/>
      <c r="K413" s="4"/>
      <c r="L413" s="4"/>
    </row>
    <row r="414" spans="1:12" x14ac:dyDescent="0.15">
      <c r="A414" s="2" t="str">
        <f>HYPERLINK("./new_k5/query_cmdrels_weight_analyze/0.4_0.3_0.3/ul_67503.xlsx","ul_67503")</f>
        <v>ul_67503</v>
      </c>
      <c r="B414" s="2">
        <v>0</v>
      </c>
      <c r="C414" s="2">
        <v>0.5</v>
      </c>
      <c r="D414" s="2">
        <v>0.25</v>
      </c>
      <c r="E414" s="2">
        <v>0.83333333333333326</v>
      </c>
      <c r="F414" s="2">
        <v>0.5</v>
      </c>
      <c r="G414" s="2">
        <v>0.83333333333333326</v>
      </c>
      <c r="H414" s="4"/>
      <c r="I414" s="4"/>
      <c r="J414" s="4"/>
      <c r="K414" s="4"/>
      <c r="L414" s="4"/>
    </row>
    <row r="415" spans="1:12" x14ac:dyDescent="0.15">
      <c r="A415" s="2" t="str">
        <f>HYPERLINK("./new_k5/query_cmdrels_weight_analyze/0.4_0.3_0.3/ul_67592.xlsx","ul_67592")</f>
        <v>ul_67592</v>
      </c>
      <c r="B415" s="2">
        <v>0.33333333333333331</v>
      </c>
      <c r="C415" s="2">
        <v>0</v>
      </c>
      <c r="D415" s="2">
        <v>0.33333333333333331</v>
      </c>
      <c r="E415" s="2">
        <v>0.1111111111111111</v>
      </c>
      <c r="F415" s="2">
        <v>0.33333333333333331</v>
      </c>
      <c r="G415" s="2">
        <v>0.1111111111111111</v>
      </c>
      <c r="H415" s="4"/>
      <c r="I415" s="4"/>
      <c r="J415" s="4"/>
      <c r="K415" s="4"/>
      <c r="L415" s="4"/>
    </row>
    <row r="416" spans="1:12" x14ac:dyDescent="0.15">
      <c r="A416" s="2" t="str">
        <f>HYPERLINK("./new_k5/query_cmdrels_weight_analyze/0.4_0.3_0.3/ul_70581.xlsx","ul_70581")</f>
        <v>ul_70581</v>
      </c>
      <c r="B416" s="2">
        <v>0</v>
      </c>
      <c r="C416" s="2">
        <v>0</v>
      </c>
      <c r="D416" s="2">
        <v>0.1</v>
      </c>
      <c r="E416" s="2">
        <v>0.23333333333333331</v>
      </c>
      <c r="F416" s="2">
        <v>0.1</v>
      </c>
      <c r="G416" s="2">
        <v>0.3833333333333333</v>
      </c>
      <c r="H416" s="4"/>
      <c r="I416" s="4"/>
      <c r="J416" s="4"/>
      <c r="K416" s="4"/>
      <c r="L416" s="4"/>
    </row>
    <row r="417" spans="1:12" x14ac:dyDescent="0.15">
      <c r="A417" s="2" t="str">
        <f>HYPERLINK("./new_k5/query_cmdrels_weight_analyze/0.4_0.3_0.3/ul_70614.xlsx","ul_70614")</f>
        <v>ul_70614</v>
      </c>
      <c r="B417" s="2">
        <v>1</v>
      </c>
      <c r="C417" s="2">
        <v>0</v>
      </c>
      <c r="D417" s="2">
        <v>1</v>
      </c>
      <c r="E417" s="2">
        <v>0.5</v>
      </c>
      <c r="F417" s="2">
        <v>1</v>
      </c>
      <c r="G417" s="2">
        <v>0.5</v>
      </c>
      <c r="H417" s="4"/>
      <c r="I417" s="4"/>
      <c r="J417" s="4"/>
      <c r="K417" s="4"/>
      <c r="L417" s="4"/>
    </row>
    <row r="418" spans="1:12" x14ac:dyDescent="0.15">
      <c r="A418" s="2" t="str">
        <f>HYPERLINK("./new_k5/query_cmdrels_weight_analyze/0.4_0.3_0.3/ul_71465.xlsx","ul_71465")</f>
        <v>ul_71465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4"/>
      <c r="I418" s="4"/>
      <c r="J418" s="4"/>
      <c r="K418" s="4"/>
      <c r="L418" s="4"/>
    </row>
    <row r="419" spans="1:12" x14ac:dyDescent="0.15">
      <c r="A419" s="2" t="str">
        <f>HYPERLINK("./new_k5/query_cmdrels_weight_analyze/0.4_0.3_0.3/ul_7226.xlsx","ul_7226")</f>
        <v>ul_7226</v>
      </c>
      <c r="B419" s="2">
        <v>0.33333333333333331</v>
      </c>
      <c r="C419" s="2">
        <v>0.33333333333333331</v>
      </c>
      <c r="D419" s="2">
        <v>0.33333333333333331</v>
      </c>
      <c r="E419" s="2">
        <v>0.33333333333333331</v>
      </c>
      <c r="F419" s="2">
        <v>0.33333333333333331</v>
      </c>
      <c r="G419" s="2">
        <v>0.5</v>
      </c>
      <c r="H419" s="4"/>
      <c r="I419" s="4"/>
      <c r="J419" s="4"/>
      <c r="K419" s="4"/>
      <c r="L419" s="4"/>
    </row>
    <row r="420" spans="1:12" x14ac:dyDescent="0.15">
      <c r="A420" s="2" t="str">
        <f>HYPERLINK("./new_k5/query_cmdrels_weight_analyze/0.4_0.3_0.3/ul_78182.xlsx","ul_78182")</f>
        <v>ul_78182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0.1</v>
      </c>
      <c r="H420" s="4"/>
      <c r="I420" s="4"/>
      <c r="J420" s="4"/>
      <c r="K420" s="4"/>
      <c r="L420" s="4"/>
    </row>
    <row r="421" spans="1:12" x14ac:dyDescent="0.15">
      <c r="A421" s="2" t="str">
        <f>HYPERLINK("./new_k5/query_cmdrels_weight_analyze/0.4_0.3_0.3/ul_79678.xlsx","ul_79678")</f>
        <v>ul_79678</v>
      </c>
      <c r="B421" s="2">
        <v>0</v>
      </c>
      <c r="C421" s="2">
        <v>0</v>
      </c>
      <c r="D421" s="2">
        <v>0.25</v>
      </c>
      <c r="E421" s="2">
        <v>0</v>
      </c>
      <c r="F421" s="2">
        <v>0.25</v>
      </c>
      <c r="G421" s="2">
        <v>0.125</v>
      </c>
      <c r="H421" s="4"/>
      <c r="I421" s="4"/>
      <c r="J421" s="4"/>
      <c r="K421" s="4"/>
      <c r="L421" s="4"/>
    </row>
    <row r="422" spans="1:12" x14ac:dyDescent="0.15">
      <c r="A422" s="2" t="str">
        <f>HYPERLINK("./new_k5/query_cmdrels_weight_analyze/0.4_0.3_0.3/ul_79702.xlsx","ul_79702")</f>
        <v>ul_79702</v>
      </c>
      <c r="B422" s="2">
        <v>0</v>
      </c>
      <c r="C422" s="2">
        <v>0.33333333333333331</v>
      </c>
      <c r="D422" s="2">
        <v>0</v>
      </c>
      <c r="E422" s="2">
        <v>0.66666666666666663</v>
      </c>
      <c r="F422" s="2">
        <v>0</v>
      </c>
      <c r="G422" s="2">
        <v>0.8666666666666667</v>
      </c>
      <c r="H422" s="4"/>
      <c r="I422" s="4"/>
      <c r="J422" s="4"/>
      <c r="K422" s="4"/>
      <c r="L422" s="4"/>
    </row>
    <row r="423" spans="1:12" x14ac:dyDescent="0.15">
      <c r="A423" s="2" t="str">
        <f>HYPERLINK("./new_k5/query_cmdrels_weight_analyze/0.4_0.3_0.3/ul_83593.xlsx","ul_83593")</f>
        <v>ul_83593</v>
      </c>
      <c r="B423" s="2">
        <v>0.33333333333333331</v>
      </c>
      <c r="C423" s="2">
        <v>0.33333333333333331</v>
      </c>
      <c r="D423" s="2">
        <v>0.33333333333333331</v>
      </c>
      <c r="E423" s="2">
        <v>0.66666666666666663</v>
      </c>
      <c r="F423" s="2">
        <v>0.33333333333333331</v>
      </c>
      <c r="G423" s="2">
        <v>0.91666666666666663</v>
      </c>
      <c r="H423" s="4"/>
      <c r="I423" s="4"/>
      <c r="J423" s="4"/>
      <c r="K423" s="4"/>
      <c r="L423" s="4"/>
    </row>
    <row r="424" spans="1:12" x14ac:dyDescent="0.15">
      <c r="A424" s="2" t="str">
        <f>HYPERLINK("./new_k5/query_cmdrels_weight_analyze/0.4_0.3_0.3/ul_84381.xlsx","ul_84381")</f>
        <v>ul_84381</v>
      </c>
      <c r="B424" s="2">
        <v>0</v>
      </c>
      <c r="C424" s="2">
        <v>0.33333333333333331</v>
      </c>
      <c r="D424" s="2">
        <v>0.16666666666666671</v>
      </c>
      <c r="E424" s="2">
        <v>0.66666666666666663</v>
      </c>
      <c r="F424" s="2">
        <v>0.16666666666666671</v>
      </c>
      <c r="G424" s="2">
        <v>0.66666666666666663</v>
      </c>
      <c r="H424" s="4"/>
      <c r="I424" s="4"/>
      <c r="J424" s="4"/>
      <c r="K424" s="4"/>
      <c r="L424" s="4"/>
    </row>
    <row r="425" spans="1:12" x14ac:dyDescent="0.15">
      <c r="A425" s="2" t="str">
        <f>HYPERLINK("./new_k5/query_cmdrels_weight_analyze/0.4_0.3_0.3/ul_85180.xlsx","ul_85180")</f>
        <v>ul_85180</v>
      </c>
      <c r="B425" s="2">
        <v>0</v>
      </c>
      <c r="C425" s="2">
        <v>0</v>
      </c>
      <c r="D425" s="2">
        <v>0.16666666666666671</v>
      </c>
      <c r="E425" s="2">
        <v>0.1111111111111111</v>
      </c>
      <c r="F425" s="2">
        <v>0.16666666666666671</v>
      </c>
      <c r="G425" s="2">
        <v>0.27777777777777768</v>
      </c>
      <c r="H425" s="4"/>
      <c r="I425" s="4"/>
      <c r="J425" s="4"/>
      <c r="K425" s="4"/>
      <c r="L425" s="4"/>
    </row>
    <row r="426" spans="1:12" x14ac:dyDescent="0.15">
      <c r="A426" s="2" t="str">
        <f>HYPERLINK("./new_k5/query_cmdrels_weight_analyze/0.4_0.3_0.3/ul_86071.xlsx","ul_86071")</f>
        <v>ul_86071</v>
      </c>
      <c r="B426" s="2">
        <v>0</v>
      </c>
      <c r="C426" s="2">
        <v>0.5</v>
      </c>
      <c r="D426" s="2">
        <v>0</v>
      </c>
      <c r="E426" s="2">
        <v>0.5</v>
      </c>
      <c r="F426" s="2">
        <v>0</v>
      </c>
      <c r="G426" s="2">
        <v>0.5</v>
      </c>
      <c r="H426" s="4"/>
      <c r="I426" s="4"/>
      <c r="J426" s="4"/>
      <c r="K426" s="4"/>
      <c r="L426" s="4"/>
    </row>
    <row r="427" spans="1:12" x14ac:dyDescent="0.15">
      <c r="A427" s="2" t="str">
        <f>HYPERLINK("./new_k5/query_cmdrels_weight_analyze/0.4_0.3_0.3/ul_86729.xlsx","ul_86729")</f>
        <v>ul_86729</v>
      </c>
      <c r="B427" s="2">
        <v>0.5</v>
      </c>
      <c r="C427" s="2">
        <v>0</v>
      </c>
      <c r="D427" s="2">
        <v>0.5</v>
      </c>
      <c r="E427" s="2">
        <v>0</v>
      </c>
      <c r="F427" s="2">
        <v>0.5</v>
      </c>
      <c r="G427" s="2">
        <v>0</v>
      </c>
      <c r="H427" s="4"/>
      <c r="I427" s="4"/>
      <c r="J427" s="4"/>
      <c r="K427" s="4"/>
      <c r="L427" s="4"/>
    </row>
    <row r="428" spans="1:12" x14ac:dyDescent="0.15">
      <c r="A428" s="2" t="str">
        <f>HYPERLINK("./new_k5/query_cmdrels_weight_analyze/0.4_0.3_0.3/ul_88824.xlsx","ul_88824")</f>
        <v>ul_88824</v>
      </c>
      <c r="B428" s="2">
        <v>0</v>
      </c>
      <c r="C428" s="2">
        <v>0.33333333333333331</v>
      </c>
      <c r="D428" s="2">
        <v>0</v>
      </c>
      <c r="E428" s="2">
        <v>0.55555555555555547</v>
      </c>
      <c r="F428" s="2">
        <v>0</v>
      </c>
      <c r="G428" s="2">
        <v>0.55555555555555547</v>
      </c>
      <c r="H428" s="4"/>
      <c r="I428" s="4"/>
      <c r="J428" s="4"/>
      <c r="K428" s="4"/>
      <c r="L428" s="4"/>
    </row>
    <row r="429" spans="1:12" x14ac:dyDescent="0.15">
      <c r="A429" s="2" t="str">
        <f>HYPERLINK("./new_k5/query_cmdrels_weight_analyze/0.4_0.3_0.3/ul_8945.xlsx","ul_8945")</f>
        <v>ul_8945</v>
      </c>
      <c r="B429" s="2">
        <v>0.5</v>
      </c>
      <c r="C429" s="2">
        <v>0.5</v>
      </c>
      <c r="D429" s="2">
        <v>0.5</v>
      </c>
      <c r="E429" s="2">
        <v>0.5</v>
      </c>
      <c r="F429" s="2">
        <v>0.5</v>
      </c>
      <c r="G429" s="2">
        <v>0.5</v>
      </c>
      <c r="H429" s="4"/>
      <c r="I429" s="4"/>
      <c r="J429" s="4"/>
      <c r="K429" s="4"/>
      <c r="L429" s="4"/>
    </row>
    <row r="430" spans="1:12" x14ac:dyDescent="0.15">
      <c r="A430" s="2" t="str">
        <f>HYPERLINK("./new_k5/query_cmdrels_weight_analyze/0.4_0.3_0.3/ul_89933.xlsx","ul_89933")</f>
        <v>ul_89933</v>
      </c>
      <c r="B430" s="2">
        <v>0.5</v>
      </c>
      <c r="C430" s="2">
        <v>0.5</v>
      </c>
      <c r="D430" s="2">
        <v>0.5</v>
      </c>
      <c r="E430" s="2">
        <v>0.5</v>
      </c>
      <c r="F430" s="2">
        <v>0.5</v>
      </c>
      <c r="G430" s="2">
        <v>0.5</v>
      </c>
      <c r="H430" s="4"/>
      <c r="I430" s="4"/>
      <c r="J430" s="4"/>
      <c r="K430" s="4"/>
      <c r="L430" s="4"/>
    </row>
    <row r="431" spans="1:12" x14ac:dyDescent="0.15">
      <c r="A431" s="2" t="str">
        <f>HYPERLINK("./new_k5/query_cmdrels_weight_analyze/0.4_0.3_0.3/ul_91297.xlsx","ul_91297")</f>
        <v>ul_91297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4"/>
      <c r="I431" s="4"/>
      <c r="J431" s="4"/>
      <c r="K431" s="4"/>
      <c r="L431" s="4"/>
    </row>
    <row r="432" spans="1:12" x14ac:dyDescent="0.15">
      <c r="A432" s="2" t="str">
        <f>HYPERLINK("./new_k5/query_cmdrels_weight_analyze/0.4_0.3_0.3/ul_9252.xlsx","ul_9252")</f>
        <v>ul_9252</v>
      </c>
      <c r="B432" s="2">
        <v>0</v>
      </c>
      <c r="C432" s="2">
        <v>0</v>
      </c>
      <c r="D432" s="2">
        <v>0.23333333333333331</v>
      </c>
      <c r="E432" s="2">
        <v>6.6666666666666666E-2</v>
      </c>
      <c r="F432" s="2">
        <v>0.23333333333333331</v>
      </c>
      <c r="G432" s="2">
        <v>0.1466666666666667</v>
      </c>
      <c r="H432" s="4"/>
      <c r="I432" s="4"/>
      <c r="J432" s="4"/>
      <c r="K432" s="4"/>
      <c r="L432" s="4"/>
    </row>
    <row r="433" spans="1:12" x14ac:dyDescent="0.15">
      <c r="A433" s="2" t="str">
        <f>HYPERLINK("./new_k5/query_cmdrels_weight_analyze/0.4_0.3_0.3/ul_92560.xlsx","ul_92560")</f>
        <v>ul_92560</v>
      </c>
      <c r="B433" s="2">
        <v>0</v>
      </c>
      <c r="C433" s="2">
        <v>0.5</v>
      </c>
      <c r="D433" s="2">
        <v>0</v>
      </c>
      <c r="E433" s="2">
        <v>0.5</v>
      </c>
      <c r="F433" s="2">
        <v>0</v>
      </c>
      <c r="G433" s="2">
        <v>0.7</v>
      </c>
      <c r="H433" s="4"/>
      <c r="I433" s="4"/>
      <c r="J433" s="4"/>
      <c r="K433" s="4"/>
      <c r="L433" s="4"/>
    </row>
    <row r="434" spans="1:12" x14ac:dyDescent="0.15">
      <c r="A434" s="2" t="str">
        <f>HYPERLINK("./new_k5/query_cmdrels_weight_analyze/0.4_0.3_0.3/ul_92799.xlsx","ul_92799")</f>
        <v>ul_92799</v>
      </c>
      <c r="B434" s="2">
        <v>0.16666666666666671</v>
      </c>
      <c r="C434" s="2">
        <v>0.16666666666666671</v>
      </c>
      <c r="D434" s="2">
        <v>0.27777777777777768</v>
      </c>
      <c r="E434" s="2">
        <v>0.27777777777777768</v>
      </c>
      <c r="F434" s="2">
        <v>0.53611111111111109</v>
      </c>
      <c r="G434" s="2">
        <v>0.53611111111111109</v>
      </c>
      <c r="H434" s="4"/>
      <c r="I434" s="4"/>
      <c r="J434" s="4"/>
      <c r="K434" s="4"/>
      <c r="L434" s="4"/>
    </row>
    <row r="435" spans="1:12" x14ac:dyDescent="0.15">
      <c r="A435" s="2" t="str">
        <f>HYPERLINK("./new_k5/query_cmdrels_weight_analyze/0.4_0.3_0.3/ul_93139.xlsx","ul_93139")</f>
        <v>ul_93139</v>
      </c>
      <c r="B435" s="2">
        <v>0</v>
      </c>
      <c r="C435" s="2">
        <v>0.5</v>
      </c>
      <c r="D435" s="2">
        <v>0.25</v>
      </c>
      <c r="E435" s="2">
        <v>0.5</v>
      </c>
      <c r="F435" s="2">
        <v>0.25</v>
      </c>
      <c r="G435" s="2">
        <v>0.5</v>
      </c>
      <c r="H435" s="4"/>
      <c r="I435" s="4"/>
      <c r="J435" s="4"/>
      <c r="K435" s="4"/>
      <c r="L435" s="4"/>
    </row>
    <row r="436" spans="1:12" x14ac:dyDescent="0.15">
      <c r="A436" s="2" t="str">
        <f>HYPERLINK("./new_k5/query_cmdrels_weight_analyze/0.4_0.3_0.3/ul_98461.xlsx","ul_98461")</f>
        <v>ul_98461</v>
      </c>
      <c r="B436" s="2">
        <v>0</v>
      </c>
      <c r="C436" s="2">
        <v>0</v>
      </c>
      <c r="D436" s="2">
        <v>0.5</v>
      </c>
      <c r="E436" s="2">
        <v>0</v>
      </c>
      <c r="F436" s="2">
        <v>0.5</v>
      </c>
      <c r="G436" s="2">
        <v>0</v>
      </c>
      <c r="H436" s="4"/>
      <c r="I436" s="4"/>
      <c r="J436" s="4"/>
      <c r="K436" s="4"/>
      <c r="L436" s="4"/>
    </row>
    <row r="437" spans="1:12" x14ac:dyDescent="0.15">
      <c r="A437" s="2"/>
      <c r="C437" s="1"/>
      <c r="D437" s="2"/>
      <c r="E437" s="3"/>
      <c r="F437" s="2"/>
      <c r="G437" s="3"/>
      <c r="H437" s="4"/>
      <c r="I437" s="4"/>
      <c r="J437" s="4"/>
      <c r="K437" s="4"/>
      <c r="L437" s="4"/>
    </row>
    <row r="438" spans="1:12" x14ac:dyDescent="0.15">
      <c r="H438" s="4"/>
      <c r="I438" s="4"/>
      <c r="J438" s="4"/>
      <c r="K438" s="4"/>
      <c r="L438" s="4"/>
    </row>
    <row r="439" spans="1:12" x14ac:dyDescent="0.15">
      <c r="H439" s="4"/>
      <c r="I439" s="4"/>
      <c r="J439" s="4"/>
      <c r="K439" s="4"/>
      <c r="L439" s="4"/>
    </row>
    <row r="440" spans="1:12" x14ac:dyDescent="0.15">
      <c r="H440" s="4"/>
      <c r="I440" s="4"/>
      <c r="J440" s="4"/>
      <c r="K440" s="4"/>
      <c r="L440" s="4"/>
    </row>
    <row r="441" spans="1:12" ht="14.25" thickBot="1" x14ac:dyDescent="0.2">
      <c r="H441" s="5"/>
      <c r="I441" s="5"/>
      <c r="J441" s="5"/>
      <c r="K441" s="5"/>
      <c r="L441" s="5"/>
    </row>
  </sheetData>
  <phoneticPr fontId="1" type="noConversion"/>
  <conditionalFormatting sqref="B2:C436">
    <cfRule type="expression" dxfId="7" priority="3">
      <formula>$B2&lt;$C2</formula>
    </cfRule>
    <cfRule type="expression" dxfId="6" priority="8">
      <formula>$B2&gt;$C2</formula>
    </cfRule>
  </conditionalFormatting>
  <conditionalFormatting sqref="D2:E436">
    <cfRule type="expression" dxfId="5" priority="4">
      <formula>$D2&lt;$E2</formula>
    </cfRule>
    <cfRule type="expression" dxfId="4" priority="7">
      <formula>$D2&gt;$E2</formula>
    </cfRule>
  </conditionalFormatting>
  <conditionalFormatting sqref="F2:G436">
    <cfRule type="expression" dxfId="3" priority="5">
      <formula>$F2&lt;$G2</formula>
    </cfRule>
    <cfRule type="expression" dxfId="2" priority="6">
      <formula>$F2&gt;$G2</formula>
    </cfRule>
  </conditionalFormatting>
  <conditionalFormatting sqref="A1:A437">
    <cfRule type="expression" dxfId="1" priority="1">
      <formula>OR(OR($B1&lt;$C1,$D1&lt;$E1),$F1&lt;$G1)</formula>
    </cfRule>
    <cfRule type="expression" dxfId="0" priority="2">
      <formula>OR(OR($B1&gt;$C1,$D1&gt;$E1),$F1&gt;$G1)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HYPERLINK("./new_k5/query_cmdrels_weight_analyze/0.4_0.4_0.2/au_102733.xlsx","au_102733")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HYPERLINK("./new_k5/query_cmdrels_weight_analyze/0.4_0.4_0.2/au_1029436.xlsx","au_1029436")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HYPERLINK("./new_k5/query_cmdrels_weight_analyze/0.4_0.4_0.2/au_1029502.xlsx","au_1029502")</f>
        <v>au_1029502</v>
      </c>
      <c r="B5">
        <v>0.25</v>
      </c>
      <c r="C5">
        <v>0.25</v>
      </c>
      <c r="D5">
        <v>0.25</v>
      </c>
      <c r="E5">
        <v>0.25</v>
      </c>
      <c r="F5">
        <v>0.375</v>
      </c>
      <c r="G5">
        <v>0.25</v>
      </c>
    </row>
    <row r="6" spans="1:7" x14ac:dyDescent="0.15">
      <c r="A6" t="str">
        <f>HYPERLINK("./new_k5/query_cmdrels_weight_analyze/0.4_0.4_0.2/au_1029531.xlsx","au_1029531")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HYPERLINK("./new_k5/query_cmdrels_weight_analyze/0.4_0.4_0.2/au_104542.xlsx","au_104542")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HYPERLINK("./new_k5/query_cmdrels_weight_analyze/0.4_0.4_0.2/au_109070.xlsx","au_109070")</f>
        <v>au_109070</v>
      </c>
      <c r="B8">
        <v>0</v>
      </c>
      <c r="C8">
        <v>0</v>
      </c>
      <c r="D8">
        <v>0.23333333333333331</v>
      </c>
      <c r="E8">
        <v>0</v>
      </c>
      <c r="F8">
        <v>0.3833333333333333</v>
      </c>
      <c r="G8">
        <v>0.05</v>
      </c>
    </row>
    <row r="9" spans="1:7" x14ac:dyDescent="0.15">
      <c r="A9" t="str">
        <f>HYPERLINK("./new_k5/query_cmdrels_weight_analyze/0.4_0.4_0.2/au_109381.xlsx","au_109381")</f>
        <v>au_109381</v>
      </c>
      <c r="B9">
        <v>0</v>
      </c>
      <c r="C9">
        <v>0.5</v>
      </c>
      <c r="D9">
        <v>0.25</v>
      </c>
      <c r="E9">
        <v>0.5</v>
      </c>
      <c r="F9">
        <v>0.25</v>
      </c>
      <c r="G9">
        <v>0.75</v>
      </c>
    </row>
    <row r="10" spans="1:7" x14ac:dyDescent="0.15">
      <c r="A10" t="str">
        <f>HYPERLINK("./new_k5/query_cmdrels_weight_analyze/0.4_0.4_0.2/au_110477.xlsx","au_110477")</f>
        <v>au_110477</v>
      </c>
      <c r="B10">
        <v>0.25</v>
      </c>
      <c r="C10">
        <v>0.25</v>
      </c>
      <c r="D10">
        <v>0.5</v>
      </c>
      <c r="E10">
        <v>0.75</v>
      </c>
      <c r="F10">
        <v>0.5</v>
      </c>
      <c r="G10">
        <v>0.75</v>
      </c>
    </row>
    <row r="11" spans="1:7" x14ac:dyDescent="0.15">
      <c r="A11" t="str">
        <f>HYPERLINK("./new_k5/query_cmdrels_weight_analyze/0.4_0.4_0.2/au_111678.xlsx","au_111678")</f>
        <v>au_111678</v>
      </c>
      <c r="B11">
        <v>0</v>
      </c>
      <c r="C11">
        <v>0.33333333333333331</v>
      </c>
      <c r="D11">
        <v>0.1111111111111111</v>
      </c>
      <c r="E11">
        <v>0.33333333333333331</v>
      </c>
      <c r="F11">
        <v>0.1111111111111111</v>
      </c>
      <c r="G11">
        <v>0.33333333333333331</v>
      </c>
    </row>
    <row r="12" spans="1:7" x14ac:dyDescent="0.15">
      <c r="A12" t="str">
        <f>HYPERLINK("./new_k5/query_cmdrels_weight_analyze/0.4_0.4_0.2/au_112512.xlsx","au_112512")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HYPERLINK("./new_k5/query_cmdrels_weight_analyze/0.4_0.4_0.2/au_115369.xlsx","au_115369")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HYPERLINK("./new_k5/query_cmdrels_weight_analyze/0.4_0.4_0.2/au_11789.xlsx","au_11789")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HYPERLINK("./new_k5/query_cmdrels_weight_analyze/0.4_0.4_0.2/au_117950.xlsx","au_117950")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0.32500000000000001</v>
      </c>
    </row>
    <row r="16" spans="1:7" x14ac:dyDescent="0.15">
      <c r="A16" t="str">
        <f>HYPERLINK("./new_k5/query_cmdrels_weight_analyze/0.4_0.4_0.2/au_122113.xlsx","au_122113")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HYPERLINK("./new_k5/query_cmdrels_weight_analyze/0.4_0.4_0.2/au_123798.xlsx","au_123798")</f>
        <v>au_123798</v>
      </c>
      <c r="B17">
        <v>0</v>
      </c>
      <c r="C17">
        <v>0</v>
      </c>
      <c r="D17">
        <v>5.5555555555555552E-2</v>
      </c>
      <c r="E17">
        <v>5.5555555555555552E-2</v>
      </c>
      <c r="F17">
        <v>0.23888888888888879</v>
      </c>
      <c r="G17">
        <v>0.23888888888888879</v>
      </c>
    </row>
    <row r="18" spans="1:7" x14ac:dyDescent="0.15">
      <c r="A18" t="str">
        <f>HYPERLINK("./new_k5/query_cmdrels_weight_analyze/0.4_0.4_0.2/au_125257.xlsx","au_125257")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HYPERLINK("./new_k5/query_cmdrels_weight_analyze/0.4_0.4_0.2/au_126153.xlsx","au_126153")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0.33333333333333331</v>
      </c>
      <c r="F19">
        <v>0.45833333333333331</v>
      </c>
      <c r="G19">
        <v>0.43333333333333329</v>
      </c>
    </row>
    <row r="20" spans="1:7" x14ac:dyDescent="0.15">
      <c r="A20" t="str">
        <f>HYPERLINK("./new_k5/query_cmdrels_weight_analyze/0.4_0.4_0.2/au_127326.xlsx","au_127326")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HYPERLINK("./new_k5/query_cmdrels_weight_analyze/0.4_0.4_0.2/au_128463.xlsx","au_128463")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HYPERLINK("./new_k5/query_cmdrels_weight_analyze/0.4_0.4_0.2/au_130393.xlsx","au_130393")</f>
        <v>au_130393</v>
      </c>
      <c r="B22">
        <v>0</v>
      </c>
      <c r="C22">
        <v>0</v>
      </c>
      <c r="D22">
        <v>0.125</v>
      </c>
      <c r="E22">
        <v>0.125</v>
      </c>
      <c r="F22">
        <v>0.125</v>
      </c>
      <c r="G22">
        <v>0.25</v>
      </c>
    </row>
    <row r="23" spans="1:7" x14ac:dyDescent="0.15">
      <c r="A23" t="str">
        <f>HYPERLINK("./new_k5/query_cmdrels_weight_analyze/0.4_0.4_0.2/au_131570.xlsx","au_131570")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HYPERLINK("./new_k5/query_cmdrels_weight_analyze/0.4_0.4_0.2/au_133318.xlsx","au_133318")</f>
        <v>au_133318</v>
      </c>
      <c r="B24">
        <v>0</v>
      </c>
      <c r="C24">
        <v>0.25</v>
      </c>
      <c r="D24">
        <v>0</v>
      </c>
      <c r="E24">
        <v>0.41666666666666657</v>
      </c>
      <c r="F24">
        <v>0</v>
      </c>
      <c r="G24">
        <v>0.41666666666666657</v>
      </c>
    </row>
    <row r="25" spans="1:7" x14ac:dyDescent="0.15">
      <c r="A25" t="str">
        <f>HYPERLINK("./new_k5/query_cmdrels_weight_analyze/0.4_0.4_0.2/au_133343.xlsx","au_133343")</f>
        <v>au_133343</v>
      </c>
      <c r="B25">
        <v>0</v>
      </c>
      <c r="C25">
        <v>0</v>
      </c>
      <c r="D25">
        <v>0</v>
      </c>
      <c r="E25">
        <v>0.38888888888888878</v>
      </c>
      <c r="F25">
        <v>0</v>
      </c>
      <c r="G25">
        <v>0.38888888888888878</v>
      </c>
    </row>
    <row r="26" spans="1:7" x14ac:dyDescent="0.15">
      <c r="A26" t="str">
        <f>HYPERLINK("./new_k5/query_cmdrels_weight_analyze/0.4_0.4_0.2/au_133389.xlsx","au_133389")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HYPERLINK("./new_k5/query_cmdrels_weight_analyze/0.4_0.4_0.2/au_141277.xlsx","au_141277")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HYPERLINK("./new_k5/query_cmdrels_weight_analyze/0.4_0.4_0.2/au_143819.xlsx","au_143819")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HYPERLINK("./new_k5/query_cmdrels_weight_analyze/0.4_0.4_0.2/au_145935.xlsx","au_145935")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HYPERLINK("./new_k5/query_cmdrels_weight_analyze/0.4_0.4_0.2/au_147241.xlsx","au_147241")</f>
        <v>au_147241</v>
      </c>
      <c r="B30">
        <v>0</v>
      </c>
      <c r="C30">
        <v>0</v>
      </c>
      <c r="D30">
        <v>0.29166666666666657</v>
      </c>
      <c r="E30">
        <v>0.29166666666666657</v>
      </c>
      <c r="F30">
        <v>0.29166666666666657</v>
      </c>
      <c r="G30">
        <v>0.47916666666666657</v>
      </c>
    </row>
    <row r="31" spans="1:7" x14ac:dyDescent="0.15">
      <c r="A31" t="str">
        <f>HYPERLINK("./new_k5/query_cmdrels_weight_analyze/0.4_0.4_0.2/au_147800.xlsx","au_147800")</f>
        <v>au_147800</v>
      </c>
      <c r="B31">
        <v>0</v>
      </c>
      <c r="C31">
        <v>0</v>
      </c>
      <c r="D31">
        <v>0.1111111111111111</v>
      </c>
      <c r="E31">
        <v>0.16666666666666671</v>
      </c>
      <c r="F31">
        <v>0.1111111111111111</v>
      </c>
      <c r="G31">
        <v>0.16666666666666671</v>
      </c>
    </row>
    <row r="32" spans="1:7" x14ac:dyDescent="0.15">
      <c r="A32" t="str">
        <f>HYPERLINK("./new_k5/query_cmdrels_weight_analyze/0.4_0.4_0.2/au_148321.xlsx","au_148321")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0.40277777777777768</v>
      </c>
    </row>
    <row r="33" spans="1:7" x14ac:dyDescent="0.15">
      <c r="A33" t="str">
        <f>HYPERLINK("./new_k5/query_cmdrels_weight_analyze/0.4_0.4_0.2/au_148638.xlsx","au_148638")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HYPERLINK("./new_k5/query_cmdrels_weight_analyze/0.4_0.4_0.2/au_151049.xlsx","au_151049")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HYPERLINK("./new_k5/query_cmdrels_weight_analyze/0.4_0.4_0.2/au_151941.xlsx","au_151941")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HYPERLINK("./new_k5/query_cmdrels_weight_analyze/0.4_0.4_0.2/au_152297.xlsx","au_152297")</f>
        <v>au_152297</v>
      </c>
      <c r="B36">
        <v>0</v>
      </c>
      <c r="C36">
        <v>0</v>
      </c>
      <c r="D36">
        <v>7.1428571428571425E-2</v>
      </c>
      <c r="E36">
        <v>0.16666666666666671</v>
      </c>
      <c r="F36">
        <v>7.1428571428571425E-2</v>
      </c>
      <c r="G36">
        <v>0.25238095238095237</v>
      </c>
    </row>
    <row r="37" spans="1:7" x14ac:dyDescent="0.15">
      <c r="A37" t="str">
        <f>HYPERLINK("./new_k5/query_cmdrels_weight_analyze/0.4_0.4_0.2/au_153976.xlsx","au_153976")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0.16666666666666671</v>
      </c>
      <c r="F37">
        <v>0.33333333333333331</v>
      </c>
      <c r="G37">
        <v>0.35</v>
      </c>
    </row>
    <row r="38" spans="1:7" x14ac:dyDescent="0.15">
      <c r="A38" t="str">
        <f>HYPERLINK("./new_k5/query_cmdrels_weight_analyze/0.4_0.4_0.2/au_154431.xlsx","au_154431")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HYPERLINK("./new_k5/query_cmdrels_weight_analyze/0.4_0.4_0.2/au_159708.xlsx","au_159708")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0.33333333333333331</v>
      </c>
      <c r="F39">
        <v>0.33333333333333331</v>
      </c>
      <c r="G39">
        <v>0.33333333333333331</v>
      </c>
    </row>
    <row r="40" spans="1:7" x14ac:dyDescent="0.15">
      <c r="A40" t="str">
        <f>HYPERLINK("./new_k5/query_cmdrels_weight_analyze/0.4_0.4_0.2/au_160869.xlsx","au_160869")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HYPERLINK("./new_k5/query_cmdrels_weight_analyze/0.4_0.4_0.2/au_161313.xlsx","au_161313")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0.125</v>
      </c>
    </row>
    <row r="42" spans="1:7" x14ac:dyDescent="0.15">
      <c r="A42" t="str">
        <f>HYPERLINK("./new_k5/query_cmdrels_weight_analyze/0.4_0.4_0.2/au_162075.xlsx","au_162075")</f>
        <v>au_162075</v>
      </c>
      <c r="B42">
        <v>0.25</v>
      </c>
      <c r="C42">
        <v>0.25</v>
      </c>
      <c r="D42">
        <v>0.5</v>
      </c>
      <c r="E42">
        <v>0.5</v>
      </c>
      <c r="F42">
        <v>0.5</v>
      </c>
      <c r="G42">
        <v>0.5</v>
      </c>
    </row>
    <row r="43" spans="1:7" x14ac:dyDescent="0.15">
      <c r="A43" t="str">
        <f>HYPERLINK("./new_k5/query_cmdrels_weight_analyze/0.4_0.4_0.2/au_16277.xlsx","au_16277")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0.83333333333333337</v>
      </c>
    </row>
    <row r="44" spans="1:7" x14ac:dyDescent="0.15">
      <c r="A44" t="str">
        <f>HYPERLINK("./new_k5/query_cmdrels_weight_analyze/0.4_0.4_0.2/au_163155.xlsx","au_163155")</f>
        <v>au_163155</v>
      </c>
      <c r="B44">
        <v>0.125</v>
      </c>
      <c r="C44">
        <v>0.125</v>
      </c>
      <c r="D44">
        <v>0.375</v>
      </c>
      <c r="E44">
        <v>0.20833333333333329</v>
      </c>
      <c r="F44">
        <v>0.5</v>
      </c>
      <c r="G44">
        <v>0.40208333333333329</v>
      </c>
    </row>
    <row r="45" spans="1:7" x14ac:dyDescent="0.15">
      <c r="A45" t="str">
        <f>HYPERLINK("./new_k5/query_cmdrels_weight_analyze/0.4_0.4_0.2/au_164473.xlsx","au_164473")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HYPERLINK("./new_k5/query_cmdrels_weight_analyze/0.4_0.4_0.2/au_16584.xlsx","au_16584")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0.15151515151515149</v>
      </c>
      <c r="F46">
        <v>0.13636363636363641</v>
      </c>
      <c r="G46">
        <v>0.2196969696969697</v>
      </c>
    </row>
    <row r="47" spans="1:7" x14ac:dyDescent="0.15">
      <c r="A47" t="str">
        <f>HYPERLINK("./new_k5/query_cmdrels_weight_analyze/0.4_0.4_0.2/au_166420.xlsx","au_166420")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HYPERLINK("./new_k5/query_cmdrels_weight_analyze/0.4_0.4_0.2/au_169473.xlsx","au_169473")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0.16666666666666671</v>
      </c>
      <c r="F48">
        <v>0.43333333333333329</v>
      </c>
      <c r="G48">
        <v>0.35</v>
      </c>
    </row>
    <row r="49" spans="1:7" x14ac:dyDescent="0.15">
      <c r="A49" t="str">
        <f>HYPERLINK("./new_k5/query_cmdrels_weight_analyze/0.4_0.4_0.2/au_169516.xlsx","au_169516")</f>
        <v>au_169516</v>
      </c>
      <c r="B49">
        <v>0.25</v>
      </c>
      <c r="C49">
        <v>0.25</v>
      </c>
      <c r="D49">
        <v>0.25</v>
      </c>
      <c r="E49">
        <v>0.5</v>
      </c>
      <c r="F49">
        <v>0.25</v>
      </c>
      <c r="G49">
        <v>0.5</v>
      </c>
    </row>
    <row r="50" spans="1:7" x14ac:dyDescent="0.15">
      <c r="A50" t="str">
        <f>HYPERLINK("./new_k5/query_cmdrels_weight_analyze/0.4_0.4_0.2/au_174292.xlsx","au_174292")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HYPERLINK("./new_k5/query_cmdrels_weight_analyze/0.4_0.4_0.2/au_178481.xlsx","au_178481")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HYPERLINK("./new_k5/query_cmdrels_weight_analyze/0.4_0.4_0.2/au_180925.xlsx","au_180925")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HYPERLINK("./new_k5/query_cmdrels_weight_analyze/0.4_0.4_0.2/au_187888.xlsx","au_187888")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HYPERLINK("./new_k5/query_cmdrels_weight_analyze/0.4_0.4_0.2/au_191390.xlsx","au_191390")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HYPERLINK("./new_k5/query_cmdrels_weight_analyze/0.4_0.4_0.2/au_192798.xlsx","au_192798")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HYPERLINK("./new_k5/query_cmdrels_weight_analyze/0.4_0.4_0.2/au_201775.xlsx","au_201775")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0.33333333333333331</v>
      </c>
      <c r="F56">
        <v>0.66666666666666663</v>
      </c>
      <c r="G56">
        <v>0.70000000000000007</v>
      </c>
    </row>
    <row r="57" spans="1:7" x14ac:dyDescent="0.15">
      <c r="A57" t="str">
        <f>HYPERLINK("./new_k5/query_cmdrels_weight_analyze/0.4_0.4_0.2/au_204166.xlsx","au_204166")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HYPERLINK("./new_k5/query_cmdrels_weight_analyze/0.4_0.4_0.2/au_207447.xlsx","au_207447")</f>
        <v>au_207447</v>
      </c>
      <c r="B58">
        <v>0.33333333333333331</v>
      </c>
      <c r="C58">
        <v>0</v>
      </c>
      <c r="D58">
        <v>0.33333333333333331</v>
      </c>
      <c r="E58">
        <v>0.16666666666666671</v>
      </c>
      <c r="F58">
        <v>0.33333333333333331</v>
      </c>
      <c r="G58">
        <v>0.16666666666666671</v>
      </c>
    </row>
    <row r="59" spans="1:7" x14ac:dyDescent="0.15">
      <c r="A59" t="str">
        <f>HYPERLINK("./new_k5/query_cmdrels_weight_analyze/0.4_0.4_0.2/au_210680.xlsx","au_210680")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HYPERLINK("./new_k5/query_cmdrels_weight_analyze/0.4_0.4_0.2/au_214246.xlsx","au_214246")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HYPERLINK("./new_k5/query_cmdrels_weight_analyze/0.4_0.4_0.2/au_214643.xlsx","au_214643")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HYPERLINK("./new_k5/query_cmdrels_weight_analyze/0.4_0.4_0.2/au_2194.xlsx","au_2194")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HYPERLINK("./new_k5/query_cmdrels_weight_analyze/0.4_0.4_0.2/au_221962.xlsx","au_221962")</f>
        <v>au_221962</v>
      </c>
      <c r="B63">
        <v>0</v>
      </c>
      <c r="C63">
        <v>0</v>
      </c>
      <c r="D63">
        <v>5.5555555555555552E-2</v>
      </c>
      <c r="E63">
        <v>8.3333333333333329E-2</v>
      </c>
      <c r="F63">
        <v>0.1388888888888889</v>
      </c>
      <c r="G63">
        <v>0.26666666666666672</v>
      </c>
    </row>
    <row r="64" spans="1:7" x14ac:dyDescent="0.15">
      <c r="A64" t="str">
        <f>HYPERLINK("./new_k5/query_cmdrels_weight_analyze/0.4_0.4_0.2/au_22608.xlsx","au_22608")</f>
        <v>au_22608</v>
      </c>
      <c r="B64">
        <v>0.33333333333333331</v>
      </c>
      <c r="C64">
        <v>0</v>
      </c>
      <c r="D64">
        <v>0.33333333333333331</v>
      </c>
      <c r="E64">
        <v>0.16666666666666671</v>
      </c>
      <c r="F64">
        <v>0.33333333333333331</v>
      </c>
      <c r="G64">
        <v>0.33333333333333331</v>
      </c>
    </row>
    <row r="65" spans="1:7" x14ac:dyDescent="0.15">
      <c r="A65" t="str">
        <f>HYPERLINK("./new_k5/query_cmdrels_weight_analyze/0.4_0.4_0.2/au_230698.xlsx","au_230698")</f>
        <v>au_230698</v>
      </c>
      <c r="B65">
        <v>0.125</v>
      </c>
      <c r="C65">
        <v>0.125</v>
      </c>
      <c r="D65">
        <v>0.25</v>
      </c>
      <c r="E65">
        <v>0.20833333333333329</v>
      </c>
      <c r="F65">
        <v>0.32500000000000001</v>
      </c>
      <c r="G65">
        <v>0.30208333333333331</v>
      </c>
    </row>
    <row r="66" spans="1:7" x14ac:dyDescent="0.15">
      <c r="A66" t="str">
        <f>HYPERLINK("./new_k5/query_cmdrels_weight_analyze/0.4_0.4_0.2/au_232442.xlsx","au_232442")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HYPERLINK("./new_k5/query_cmdrels_weight_analyze/0.4_0.4_0.2/au_233378.xlsx","au_233378")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HYPERLINK("./new_k5/query_cmdrels_weight_analyze/0.4_0.4_0.2/au_24027.xlsx","au_24027")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HYPERLINK("./new_k5/query_cmdrels_weight_analyze/0.4_0.4_0.2/au_246647.xlsx","au_246647")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HYPERLINK("./new_k5/query_cmdrels_weight_analyze/0.4_0.4_0.2/au_254424.xlsx","au_254424")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HYPERLINK("./new_k5/query_cmdrels_weight_analyze/0.4_0.4_0.2/au_255890.xlsx","au_255890")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HYPERLINK("./new_k5/query_cmdrels_weight_analyze/0.4_0.4_0.2/au_257248.xlsx","au_257248")</f>
        <v>au_257248</v>
      </c>
      <c r="B72">
        <v>0</v>
      </c>
      <c r="C72">
        <v>0.14285714285714279</v>
      </c>
      <c r="D72">
        <v>0.16666666666666671</v>
      </c>
      <c r="E72">
        <v>0.23809523809523811</v>
      </c>
      <c r="F72">
        <v>0.25238095238095237</v>
      </c>
      <c r="G72">
        <v>0.32380952380952382</v>
      </c>
    </row>
    <row r="73" spans="1:7" x14ac:dyDescent="0.15">
      <c r="A73" t="str">
        <f>HYPERLINK("./new_k5/query_cmdrels_weight_analyze/0.4_0.4_0.2/au_259354.xlsx","au_259354")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0.42857142857142849</v>
      </c>
    </row>
    <row r="74" spans="1:7" x14ac:dyDescent="0.15">
      <c r="A74" t="str">
        <f>HYPERLINK("./new_k5/query_cmdrels_weight_analyze/0.4_0.4_0.2/au_263378.xlsx","au_263378")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0.47499999999999998</v>
      </c>
    </row>
    <row r="75" spans="1:7" x14ac:dyDescent="0.15">
      <c r="A75" t="str">
        <f>HYPERLINK("./new_k5/query_cmdrels_weight_analyze/0.4_0.4_0.2/au_264215.xlsx","au_264215")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HYPERLINK("./new_k5/query_cmdrels_weight_analyze/0.4_0.4_0.2/au_265176.xlsx","au_265176")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HYPERLINK("./new_k5/query_cmdrels_weight_analyze/0.4_0.4_0.2/au_275704.xlsx","au_275704")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HYPERLINK("./new_k5/query_cmdrels_weight_analyze/0.4_0.4_0.2/au_276669.xlsx","au_276669")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HYPERLINK("./new_k5/query_cmdrels_weight_analyze/0.4_0.4_0.2/au_277565.xlsx","au_277565")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HYPERLINK("./new_k5/query_cmdrels_weight_analyze/0.4_0.4_0.2/au_278403.xlsx","au_278403")</f>
        <v>au_278403</v>
      </c>
      <c r="B80">
        <v>0</v>
      </c>
      <c r="C80">
        <v>0.25</v>
      </c>
      <c r="D80">
        <v>8.3333333333333329E-2</v>
      </c>
      <c r="E80">
        <v>0.25</v>
      </c>
      <c r="F80">
        <v>0.20833333333333329</v>
      </c>
      <c r="G80">
        <v>0.375</v>
      </c>
    </row>
    <row r="81" spans="1:7" x14ac:dyDescent="0.15">
      <c r="A81" t="str">
        <f>HYPERLINK("./new_k5/query_cmdrels_weight_analyze/0.4_0.4_0.2/au_28039.xlsx","au_28039")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HYPERLINK("./new_k5/query_cmdrels_weight_analyze/0.4_0.4_0.2/au_281509.xlsx","au_281509")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HYPERLINK("./new_k5/query_cmdrels_weight_analyze/0.4_0.4_0.2/au_282806.xlsx","au_282806")</f>
        <v>au_282806</v>
      </c>
      <c r="B83">
        <v>0</v>
      </c>
      <c r="C83">
        <v>0.33333333333333331</v>
      </c>
      <c r="D83">
        <v>0.38888888888888878</v>
      </c>
      <c r="E83">
        <v>0.55555555555555547</v>
      </c>
      <c r="F83">
        <v>0.38888888888888878</v>
      </c>
      <c r="G83">
        <v>0.80555555555555547</v>
      </c>
    </row>
    <row r="84" spans="1:7" x14ac:dyDescent="0.15">
      <c r="A84" t="str">
        <f>HYPERLINK("./new_k5/query_cmdrels_weight_analyze/0.4_0.4_0.2/au_283559.xlsx","au_283559")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HYPERLINK("./new_k5/query_cmdrels_weight_analyze/0.4_0.4_0.2/au_285539.xlsx","au_285539")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HYPERLINK("./new_k5/query_cmdrels_weight_analyze/0.4_0.4_0.2/au_287532.xlsx","au_287532")</f>
        <v>au_287532</v>
      </c>
      <c r="B86">
        <v>0</v>
      </c>
      <c r="C86">
        <v>0</v>
      </c>
      <c r="D86">
        <v>0</v>
      </c>
      <c r="E86">
        <v>8.3333333333333329E-2</v>
      </c>
      <c r="F86">
        <v>0</v>
      </c>
      <c r="G86">
        <v>8.3333333333333329E-2</v>
      </c>
    </row>
    <row r="87" spans="1:7" x14ac:dyDescent="0.15">
      <c r="A87" t="str">
        <f>HYPERLINK("./new_k5/query_cmdrels_weight_analyze/0.4_0.4_0.2/au_294257.xlsx","au_294257")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HYPERLINK("./new_k5/query_cmdrels_weight_analyze/0.4_0.4_0.2/au_296155.xlsx","au_296155")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HYPERLINK("./new_k5/query_cmdrels_weight_analyze/0.4_0.4_0.2/au_299975.xlsx","au_299975")</f>
        <v>au_299975</v>
      </c>
      <c r="B89">
        <v>0.25</v>
      </c>
      <c r="C89">
        <v>0</v>
      </c>
      <c r="D89">
        <v>0.5</v>
      </c>
      <c r="E89">
        <v>0.29166666666666657</v>
      </c>
      <c r="F89">
        <v>0.6875</v>
      </c>
      <c r="G89">
        <v>0.29166666666666657</v>
      </c>
    </row>
    <row r="90" spans="1:7" x14ac:dyDescent="0.15">
      <c r="A90" t="str">
        <f>HYPERLINK("./new_k5/query_cmdrels_weight_analyze/0.4_0.4_0.2/au_301096.xlsx","au_301096")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HYPERLINK("./new_k5/query_cmdrels_weight_analyze/0.4_0.4_0.2/au_303593.xlsx","au_303593")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HYPERLINK("./new_k5/query_cmdrels_weight_analyze/0.4_0.4_0.2/au_303849.xlsx","au_303849")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HYPERLINK("./new_k5/query_cmdrels_weight_analyze/0.4_0.4_0.2/au_307541.xlsx","au_307541")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HYPERLINK("./new_k5/query_cmdrels_weight_analyze/0.4_0.4_0.2/au_307688.xlsx","au_307688")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HYPERLINK("./new_k5/query_cmdrels_weight_analyze/0.4_0.4_0.2/au_309047.xlsx","au_309047")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HYPERLINK("./new_k5/query_cmdrels_weight_analyze/0.4_0.4_0.2/au_311558.xlsx","au_311558")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0.41666666666666657</v>
      </c>
    </row>
    <row r="97" spans="1:7" x14ac:dyDescent="0.15">
      <c r="A97" t="str">
        <f>HYPERLINK("./new_k5/query_cmdrels_weight_analyze/0.4_0.4_0.2/au_318973.xlsx","au_318973")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HYPERLINK("./new_k5/query_cmdrels_weight_analyze/0.4_0.4_0.2/au_3205.xlsx","au_3205")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HYPERLINK("./new_k5/query_cmdrels_weight_analyze/0.4_0.4_0.2/au_323131.xlsx","au_323131")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HYPERLINK("./new_k5/query_cmdrels_weight_analyze/0.4_0.4_0.2/au_323392.xlsx","au_323392")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HYPERLINK("./new_k5/query_cmdrels_weight_analyze/0.4_0.4_0.2/au_325368.xlsx","au_325368")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HYPERLINK("./new_k5/query_cmdrels_weight_analyze/0.4_0.4_0.2/au_328162.xlsx","au_328162")</f>
        <v>au_328162</v>
      </c>
      <c r="B102">
        <v>0.33333333333333331</v>
      </c>
      <c r="C102">
        <v>0.33333333333333331</v>
      </c>
      <c r="D102">
        <v>1</v>
      </c>
      <c r="E102">
        <v>0.33333333333333331</v>
      </c>
      <c r="F102">
        <v>1</v>
      </c>
      <c r="G102">
        <v>0.5</v>
      </c>
    </row>
    <row r="103" spans="1:7" x14ac:dyDescent="0.15">
      <c r="A103" t="str">
        <f>HYPERLINK("./new_k5/query_cmdrels_weight_analyze/0.4_0.4_0.2/au_330148.xlsx","au_330148")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HYPERLINK("./new_k5/query_cmdrels_weight_analyze/0.4_0.4_0.2/au_332315.xlsx","au_332315")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HYPERLINK("./new_k5/query_cmdrels_weight_analyze/0.4_0.4_0.2/au_334081.xlsx","au_334081")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HYPERLINK("./new_k5/query_cmdrels_weight_analyze/0.4_0.4_0.2/au_34077.xlsx","au_34077")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0.5</v>
      </c>
      <c r="F106">
        <v>0.33333333333333331</v>
      </c>
      <c r="G106">
        <v>0.6333333333333333</v>
      </c>
    </row>
    <row r="107" spans="1:7" x14ac:dyDescent="0.15">
      <c r="A107" t="str">
        <f>HYPERLINK("./new_k5/query_cmdrels_weight_analyze/0.4_0.4_0.2/au_341428.xlsx","au_341428")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HYPERLINK("./new_k5/query_cmdrels_weight_analyze/0.4_0.4_0.2/au_341584.xlsx","au_341584")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HYPERLINK("./new_k5/query_cmdrels_weight_analyze/0.4_0.4_0.2/au_346864.xlsx","au_346864")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0.14285714285714279</v>
      </c>
      <c r="F109">
        <v>0.23809523809523811</v>
      </c>
      <c r="G109">
        <v>0.2142857142857143</v>
      </c>
    </row>
    <row r="110" spans="1:7" x14ac:dyDescent="0.15">
      <c r="A110" t="str">
        <f>HYPERLINK("./new_k5/query_cmdrels_weight_analyze/0.4_0.4_0.2/au_351765.xlsx","au_351765")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0.5</v>
      </c>
    </row>
    <row r="111" spans="1:7" x14ac:dyDescent="0.15">
      <c r="A111" t="str">
        <f>HYPERLINK("./new_k5/query_cmdrels_weight_analyze/0.4_0.4_0.2/au_35922.xlsx","au_35922")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HYPERLINK("./new_k5/query_cmdrels_weight_analyze/0.4_0.4_0.2/au_359856.xlsx","au_359856")</f>
        <v>au_359856</v>
      </c>
      <c r="B112">
        <v>0.25</v>
      </c>
      <c r="C112">
        <v>0.25</v>
      </c>
      <c r="D112">
        <v>0.75</v>
      </c>
      <c r="E112">
        <v>0.5</v>
      </c>
      <c r="F112">
        <v>0.95</v>
      </c>
      <c r="G112">
        <v>0.5</v>
      </c>
    </row>
    <row r="113" spans="1:7" x14ac:dyDescent="0.15">
      <c r="A113" t="str">
        <f>HYPERLINK("./new_k5/query_cmdrels_weight_analyze/0.4_0.4_0.2/au_360423.xlsx","au_360423")</f>
        <v>au_360423</v>
      </c>
      <c r="B113">
        <v>0</v>
      </c>
      <c r="C113">
        <v>0</v>
      </c>
      <c r="D113">
        <v>0</v>
      </c>
      <c r="E113">
        <v>0.25</v>
      </c>
      <c r="F113">
        <v>0</v>
      </c>
      <c r="G113">
        <v>0.25</v>
      </c>
    </row>
    <row r="114" spans="1:7" x14ac:dyDescent="0.15">
      <c r="A114" t="str">
        <f>HYPERLINK("./new_k5/query_cmdrels_weight_analyze/0.4_0.4_0.2/au_36287.xlsx","au_36287")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HYPERLINK("./new_k5/query_cmdrels_weight_analyze/0.4_0.4_0.2/au_366742.xlsx","au_366742")</f>
        <v>au_366742</v>
      </c>
      <c r="B115">
        <v>0</v>
      </c>
      <c r="C115">
        <v>0</v>
      </c>
      <c r="D115">
        <v>0</v>
      </c>
      <c r="E115">
        <v>0.125</v>
      </c>
      <c r="F115">
        <v>0</v>
      </c>
      <c r="G115">
        <v>0.22500000000000001</v>
      </c>
    </row>
    <row r="116" spans="1:7" x14ac:dyDescent="0.15">
      <c r="A116" t="str">
        <f>HYPERLINK("./new_k5/query_cmdrels_weight_analyze/0.4_0.4_0.2/au_377937.xlsx","au_377937")</f>
        <v>au_377937</v>
      </c>
      <c r="B116">
        <v>0.25</v>
      </c>
      <c r="C116">
        <v>0.25</v>
      </c>
      <c r="D116">
        <v>0.5</v>
      </c>
      <c r="E116">
        <v>0.5</v>
      </c>
      <c r="F116">
        <v>0.5</v>
      </c>
      <c r="G116">
        <v>0.6875</v>
      </c>
    </row>
    <row r="117" spans="1:7" x14ac:dyDescent="0.15">
      <c r="A117" t="str">
        <f>HYPERLINK("./new_k5/query_cmdrels_weight_analyze/0.4_0.4_0.2/au_383997.xlsx","au_383997")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0.37142857142857139</v>
      </c>
    </row>
    <row r="118" spans="1:7" x14ac:dyDescent="0.15">
      <c r="A118" t="str">
        <f>HYPERLINK("./new_k5/query_cmdrels_weight_analyze/0.4_0.4_0.2/au_3883.xlsx","au_3883")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0.35</v>
      </c>
    </row>
    <row r="119" spans="1:7" x14ac:dyDescent="0.15">
      <c r="A119" t="str">
        <f>HYPERLINK("./new_k5/query_cmdrels_weight_analyze/0.4_0.4_0.2/au_396883.xlsx","au_396883")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HYPERLINK("./new_k5/query_cmdrels_weight_analyze/0.4_0.4_0.2/au_39760.xlsx","au_39760")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HYPERLINK("./new_k5/query_cmdrels_weight_analyze/0.4_0.4_0.2/au_398818.xlsx","au_398818")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HYPERLINK("./new_k5/query_cmdrels_weight_analyze/0.4_0.4_0.2/au_400807.xlsx","au_400807")</f>
        <v>au_400807</v>
      </c>
      <c r="B122">
        <v>0</v>
      </c>
      <c r="C122">
        <v>0.33333333333333331</v>
      </c>
      <c r="D122">
        <v>0.16666666666666671</v>
      </c>
      <c r="E122">
        <v>0.55555555555555547</v>
      </c>
      <c r="F122">
        <v>0.16666666666666671</v>
      </c>
      <c r="G122">
        <v>0.75555555555555554</v>
      </c>
    </row>
    <row r="123" spans="1:7" x14ac:dyDescent="0.15">
      <c r="A123" t="str">
        <f>HYPERLINK("./new_k5/query_cmdrels_weight_analyze/0.4_0.4_0.2/au_408611.xlsx","au_408611")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HYPERLINK("./new_k5/query_cmdrels_weight_analyze/0.4_0.4_0.2/au_414737.xlsx","au_414737")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HYPERLINK("./new_k5/query_cmdrels_weight_analyze/0.4_0.4_0.2/au_420722.xlsx","au_420722")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0.55555555555555547</v>
      </c>
      <c r="F125">
        <v>0.66666666666666663</v>
      </c>
      <c r="G125">
        <v>0.55555555555555547</v>
      </c>
    </row>
    <row r="126" spans="1:7" x14ac:dyDescent="0.15">
      <c r="A126" t="str">
        <f>HYPERLINK("./new_k5/query_cmdrels_weight_analyze/0.4_0.4_0.2/au_423942.xlsx","au_423942")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HYPERLINK("./new_k5/query_cmdrels_weight_analyze/0.4_0.4_0.2/au_430382.xlsx","au_430382")</f>
        <v>au_430382</v>
      </c>
      <c r="B127">
        <v>0</v>
      </c>
      <c r="C127">
        <v>0.25</v>
      </c>
      <c r="D127">
        <v>0.29166666666666657</v>
      </c>
      <c r="E127">
        <v>0.5</v>
      </c>
      <c r="F127">
        <v>0.29166666666666657</v>
      </c>
      <c r="G127">
        <v>0.5</v>
      </c>
    </row>
    <row r="128" spans="1:7" x14ac:dyDescent="0.15">
      <c r="A128" t="str">
        <f>HYPERLINK("./new_k5/query_cmdrels_weight_analyze/0.4_0.4_0.2/au_432836.xlsx","au_432836")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HYPERLINK("./new_k5/query_cmdrels_weight_analyze/0.4_0.4_0.2/au_440326.xlsx","au_440326")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HYPERLINK("./new_k5/query_cmdrels_weight_analyze/0.4_0.4_0.2/au_442914.xlsx","au_442914")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HYPERLINK("./new_k5/query_cmdrels_weight_analyze/0.4_0.4_0.2/au_443227.xlsx","au_443227")</f>
        <v>au_443227</v>
      </c>
      <c r="B131">
        <v>0.5</v>
      </c>
      <c r="C131">
        <v>0</v>
      </c>
      <c r="D131">
        <v>0.5</v>
      </c>
      <c r="E131">
        <v>0</v>
      </c>
      <c r="F131">
        <v>0.5</v>
      </c>
      <c r="G131">
        <v>0.125</v>
      </c>
    </row>
    <row r="132" spans="1:7" x14ac:dyDescent="0.15">
      <c r="A132" t="str">
        <f>HYPERLINK("./new_k5/query_cmdrels_weight_analyze/0.4_0.4_0.2/au_44534.xlsx","au_44534")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HYPERLINK("./new_k5/query_cmdrels_weight_analyze/0.4_0.4_0.2/au_451805.xlsx","au_451805")</f>
        <v>au_451805</v>
      </c>
      <c r="B133">
        <v>0.33333333333333331</v>
      </c>
      <c r="C133">
        <v>0</v>
      </c>
      <c r="D133">
        <v>0.33333333333333331</v>
      </c>
      <c r="E133">
        <v>0.16666666666666671</v>
      </c>
      <c r="F133">
        <v>0.33333333333333331</v>
      </c>
      <c r="G133">
        <v>0.16666666666666671</v>
      </c>
    </row>
    <row r="134" spans="1:7" x14ac:dyDescent="0.15">
      <c r="A134" t="str">
        <f>HYPERLINK("./new_k5/query_cmdrels_weight_analyze/0.4_0.4_0.2/au_464264.xlsx","au_464264")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0.16666666666666671</v>
      </c>
    </row>
    <row r="135" spans="1:7" x14ac:dyDescent="0.15">
      <c r="A135" t="str">
        <f>HYPERLINK("./new_k5/query_cmdrels_weight_analyze/0.4_0.4_0.2/au_468808.xlsx","au_468808")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HYPERLINK("./new_k5/query_cmdrels_weight_analyze/0.4_0.4_0.2/au_469143.xlsx","au_469143")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HYPERLINK("./new_k5/query_cmdrels_weight_analyze/0.4_0.4_0.2/au_470237.xlsx","au_470237")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HYPERLINK("./new_k5/query_cmdrels_weight_analyze/0.4_0.4_0.2/au_473037.xlsx","au_473037")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0.1</v>
      </c>
    </row>
    <row r="139" spans="1:7" x14ac:dyDescent="0.15">
      <c r="A139" t="str">
        <f>HYPERLINK("./new_k5/query_cmdrels_weight_analyze/0.4_0.4_0.2/au_48362.xlsx","au_48362")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HYPERLINK("./new_k5/query_cmdrels_weight_analyze/0.4_0.4_0.2/au_488435.xlsx","au_488435")</f>
        <v>au_488435</v>
      </c>
      <c r="B140">
        <v>0</v>
      </c>
      <c r="C140">
        <v>0</v>
      </c>
      <c r="D140">
        <v>0.125</v>
      </c>
      <c r="E140">
        <v>8.3333333333333329E-2</v>
      </c>
      <c r="F140">
        <v>0.25</v>
      </c>
      <c r="G140">
        <v>8.3333333333333329E-2</v>
      </c>
    </row>
    <row r="141" spans="1:7" x14ac:dyDescent="0.15">
      <c r="A141" t="str">
        <f>HYPERLINK("./new_k5/query_cmdrels_weight_analyze/0.4_0.4_0.2/au_493826.xlsx","au_493826")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HYPERLINK("./new_k5/query_cmdrels_weight_analyze/0.4_0.4_0.2/au_502110.xlsx","au_502110")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HYPERLINK("./new_k5/query_cmdrels_weight_analyze/0.4_0.4_0.2/au_50344.xlsx","au_50344")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HYPERLINK("./new_k5/query_cmdrels_weight_analyze/0.4_0.4_0.2/au_511467.xlsx","au_511467")</f>
        <v>au_511467</v>
      </c>
      <c r="B144">
        <v>0</v>
      </c>
      <c r="C144">
        <v>0.16666666666666671</v>
      </c>
      <c r="D144">
        <v>0.19444444444444439</v>
      </c>
      <c r="E144">
        <v>0.33333333333333331</v>
      </c>
      <c r="F144">
        <v>0.19444444444444439</v>
      </c>
      <c r="G144">
        <v>0.45833333333333331</v>
      </c>
    </row>
    <row r="145" spans="1:7" x14ac:dyDescent="0.15">
      <c r="A145" t="str">
        <f>HYPERLINK("./new_k5/query_cmdrels_weight_analyze/0.4_0.4_0.2/au_513046.xlsx","au_513046")</f>
        <v>au_513046</v>
      </c>
      <c r="B145">
        <v>0.25</v>
      </c>
      <c r="C145">
        <v>0</v>
      </c>
      <c r="D145">
        <v>0.5</v>
      </c>
      <c r="E145">
        <v>8.3333333333333329E-2</v>
      </c>
      <c r="F145">
        <v>0.5</v>
      </c>
      <c r="G145">
        <v>0.35833333333333328</v>
      </c>
    </row>
    <row r="146" spans="1:7" x14ac:dyDescent="0.15">
      <c r="A146" t="str">
        <f>HYPERLINK("./new_k5/query_cmdrels_weight_analyze/0.4_0.4_0.2/au_517354.xlsx","au_517354")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0.34523809523809518</v>
      </c>
    </row>
    <row r="147" spans="1:7" x14ac:dyDescent="0.15">
      <c r="A147" t="str">
        <f>HYPERLINK("./new_k5/query_cmdrels_weight_analyze/0.4_0.4_0.2/au_522431.xlsx","au_522431")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0.3833333333333333</v>
      </c>
    </row>
    <row r="148" spans="1:7" x14ac:dyDescent="0.15">
      <c r="A148" t="str">
        <f>HYPERLINK("./new_k5/query_cmdrels_weight_analyze/0.4_0.4_0.2/au_52773.xlsx","au_52773")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0.05</v>
      </c>
    </row>
    <row r="149" spans="1:7" x14ac:dyDescent="0.15">
      <c r="A149" t="str">
        <f>HYPERLINK("./new_k5/query_cmdrels_weight_analyze/0.4_0.4_0.2/au_528411.xlsx","au_528411")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HYPERLINK("./new_k5/query_cmdrels_weight_analyze/0.4_0.4_0.2/au_53263.xlsx","au_53263")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1</v>
      </c>
    </row>
    <row r="151" spans="1:7" x14ac:dyDescent="0.15">
      <c r="A151" t="str">
        <f>HYPERLINK("./new_k5/query_cmdrels_weight_analyze/0.4_0.4_0.2/au_53444.xlsx","au_53444")</f>
        <v>au_53444</v>
      </c>
      <c r="B151">
        <v>0.5</v>
      </c>
      <c r="C151">
        <v>0</v>
      </c>
      <c r="D151">
        <v>0.5</v>
      </c>
      <c r="E151">
        <v>0.16666666666666671</v>
      </c>
      <c r="F151">
        <v>0.5</v>
      </c>
      <c r="G151">
        <v>0.16666666666666671</v>
      </c>
    </row>
    <row r="152" spans="1:7" x14ac:dyDescent="0.15">
      <c r="A152" t="str">
        <f>HYPERLINK("./new_k5/query_cmdrels_weight_analyze/0.4_0.4_0.2/au_538208.xlsx","au_538208")</f>
        <v>au_538208</v>
      </c>
      <c r="B152">
        <v>0.125</v>
      </c>
      <c r="C152">
        <v>0.125</v>
      </c>
      <c r="D152">
        <v>0.375</v>
      </c>
      <c r="E152">
        <v>0.25</v>
      </c>
      <c r="F152">
        <v>0.5</v>
      </c>
      <c r="G152">
        <v>0.44374999999999998</v>
      </c>
    </row>
    <row r="153" spans="1:7" x14ac:dyDescent="0.15">
      <c r="A153" t="str">
        <f>HYPERLINK("./new_k5/query_cmdrels_weight_analyze/0.4_0.4_0.2/au_53822.xlsx","au_53822")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HYPERLINK("./new_k5/query_cmdrels_weight_analyze/0.4_0.4_0.2/au_539243.xlsx","au_539243")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</v>
      </c>
    </row>
    <row r="155" spans="1:7" x14ac:dyDescent="0.15">
      <c r="A155" t="str">
        <f>HYPERLINK("./new_k5/query_cmdrels_weight_analyze/0.4_0.4_0.2/au_558280.xlsx","au_558280")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HYPERLINK("./new_k5/query_cmdrels_weight_analyze/0.4_0.4_0.2/au_558669.xlsx","au_558669")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HYPERLINK("./new_k5/query_cmdrels_weight_analyze/0.4_0.4_0.2/au_55868.xlsx","au_55868")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HYPERLINK("./new_k5/query_cmdrels_weight_analyze/0.4_0.4_0.2/au_561.xlsx","au_561")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0.5</v>
      </c>
    </row>
    <row r="159" spans="1:7" x14ac:dyDescent="0.15">
      <c r="A159" t="str">
        <f>HYPERLINK("./new_k5/query_cmdrels_weight_analyze/0.4_0.4_0.2/au_564567.xlsx","au_564567")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HYPERLINK("./new_k5/query_cmdrels_weight_analyze/0.4_0.4_0.2/au_57994.xlsx","au_57994")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0.5714285714285714</v>
      </c>
    </row>
    <row r="161" spans="1:7" x14ac:dyDescent="0.15">
      <c r="A161" t="str">
        <f>HYPERLINK("./new_k5/query_cmdrels_weight_analyze/0.4_0.4_0.2/au_589210.xlsx","au_589210")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0.35</v>
      </c>
    </row>
    <row r="162" spans="1:7" x14ac:dyDescent="0.15">
      <c r="A162" t="str">
        <f>HYPERLINK("./new_k5/query_cmdrels_weight_analyze/0.4_0.4_0.2/au_5911.xlsx","au_5911")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HYPERLINK("./new_k5/query_cmdrels_weight_analyze/0.4_0.4_0.2/au_59356.xlsx","au_59356")</f>
        <v>au_59356</v>
      </c>
      <c r="B163">
        <v>0</v>
      </c>
      <c r="C163">
        <v>0</v>
      </c>
      <c r="D163">
        <v>0.16666666666666671</v>
      </c>
      <c r="E163">
        <v>0</v>
      </c>
      <c r="F163">
        <v>0.16666666666666671</v>
      </c>
      <c r="G163">
        <v>0</v>
      </c>
    </row>
    <row r="164" spans="1:7" x14ac:dyDescent="0.15">
      <c r="A164" t="str">
        <f>HYPERLINK("./new_k5/query_cmdrels_weight_analyze/0.4_0.4_0.2/au_609850.xlsx","au_609850")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HYPERLINK("./new_k5/query_cmdrels_weight_analyze/0.4_0.4_0.2/au_61408.xlsx","au_61408")</f>
        <v>au_61408</v>
      </c>
      <c r="B165">
        <v>0</v>
      </c>
      <c r="C165">
        <v>0.33333333333333331</v>
      </c>
      <c r="D165">
        <v>0.16666666666666671</v>
      </c>
      <c r="E165">
        <v>0.33333333333333331</v>
      </c>
      <c r="F165">
        <v>0.16666666666666671</v>
      </c>
      <c r="G165">
        <v>0.33333333333333331</v>
      </c>
    </row>
    <row r="166" spans="1:7" x14ac:dyDescent="0.15">
      <c r="A166" t="str">
        <f>HYPERLINK("./new_k5/query_cmdrels_weight_analyze/0.4_0.4_0.2/au_617850.xlsx","au_617850")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HYPERLINK("./new_k5/query_cmdrels_weight_analyze/0.4_0.4_0.2/au_62073.xlsx","au_62073")</f>
        <v>au_62073</v>
      </c>
      <c r="B167">
        <v>0</v>
      </c>
      <c r="C167">
        <v>0.2</v>
      </c>
      <c r="D167">
        <v>0.23333333333333331</v>
      </c>
      <c r="E167">
        <v>0.4</v>
      </c>
      <c r="F167">
        <v>0.23333333333333331</v>
      </c>
      <c r="G167">
        <v>0.71</v>
      </c>
    </row>
    <row r="168" spans="1:7" x14ac:dyDescent="0.15">
      <c r="A168" t="str">
        <f>HYPERLINK("./new_k5/query_cmdrels_weight_analyze/0.4_0.4_0.2/au_620930.xlsx","au_620930")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0.45333333333333331</v>
      </c>
    </row>
    <row r="169" spans="1:7" x14ac:dyDescent="0.15">
      <c r="A169" t="str">
        <f>HYPERLINK("./new_k5/query_cmdrels_weight_analyze/0.4_0.4_0.2/au_62492.xlsx","au_62492")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HYPERLINK("./new_k5/query_cmdrels_weight_analyze/0.4_0.4_0.2/au_626078.xlsx","au_626078")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HYPERLINK("./new_k5/query_cmdrels_weight_analyze/0.4_0.4_0.2/au_636944.xlsx","au_636944")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HYPERLINK("./new_k5/query_cmdrels_weight_analyze/0.4_0.4_0.2/au_648603.xlsx","au_648603")</f>
        <v>au_648603</v>
      </c>
      <c r="B172">
        <v>0.25</v>
      </c>
      <c r="C172">
        <v>0.25</v>
      </c>
      <c r="D172">
        <v>0.25</v>
      </c>
      <c r="E172">
        <v>0.25</v>
      </c>
      <c r="F172">
        <v>0.25</v>
      </c>
      <c r="G172">
        <v>0.35</v>
      </c>
    </row>
    <row r="173" spans="1:7" x14ac:dyDescent="0.15">
      <c r="A173" t="str">
        <f>HYPERLINK("./new_k5/query_cmdrels_weight_analyze/0.4_0.4_0.2/au_65331.xlsx","au_65331")</f>
        <v>au_65331</v>
      </c>
      <c r="B173">
        <v>0</v>
      </c>
      <c r="C173">
        <v>0.16666666666666671</v>
      </c>
      <c r="D173">
        <v>8.3333333333333329E-2</v>
      </c>
      <c r="E173">
        <v>0.27777777777777768</v>
      </c>
      <c r="F173">
        <v>0.16666666666666671</v>
      </c>
      <c r="G173">
        <v>0.27777777777777768</v>
      </c>
    </row>
    <row r="174" spans="1:7" x14ac:dyDescent="0.15">
      <c r="A174" t="str">
        <f>HYPERLINK("./new_k5/query_cmdrels_weight_analyze/0.4_0.4_0.2/au_66000.xlsx","au_66000")</f>
        <v>au_66000</v>
      </c>
      <c r="B174">
        <v>0</v>
      </c>
      <c r="C174">
        <v>0.2</v>
      </c>
      <c r="D174">
        <v>0</v>
      </c>
      <c r="E174">
        <v>0.33333333333333331</v>
      </c>
      <c r="F174">
        <v>0</v>
      </c>
      <c r="G174">
        <v>0.64333333333333331</v>
      </c>
    </row>
    <row r="175" spans="1:7" x14ac:dyDescent="0.15">
      <c r="A175" t="str">
        <f>HYPERLINK("./new_k5/query_cmdrels_weight_analyze/0.4_0.4_0.2/au_660846.xlsx","au_660846")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HYPERLINK("./new_k5/query_cmdrels_weight_analyze/0.4_0.4_0.2/au_662935.xlsx","au_662935")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0.34375</v>
      </c>
    </row>
    <row r="177" spans="1:7" x14ac:dyDescent="0.15">
      <c r="A177" t="str">
        <f>HYPERLINK("./new_k5/query_cmdrels_weight_analyze/0.4_0.4_0.2/au_67663.xlsx","au_67663")</f>
        <v>au_67663</v>
      </c>
      <c r="B177">
        <v>0</v>
      </c>
      <c r="C177">
        <v>0.25</v>
      </c>
      <c r="D177">
        <v>0.29166666666666657</v>
      </c>
      <c r="E177">
        <v>0.75</v>
      </c>
      <c r="F177">
        <v>0.29166666666666657</v>
      </c>
      <c r="G177">
        <v>0.75</v>
      </c>
    </row>
    <row r="178" spans="1:7" x14ac:dyDescent="0.15">
      <c r="A178" t="str">
        <f>HYPERLINK("./new_k5/query_cmdrels_weight_analyze/0.4_0.4_0.2/au_68028.xlsx","au_68028")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0.2857142857142857</v>
      </c>
      <c r="F178">
        <v>0.37142857142857139</v>
      </c>
      <c r="G178">
        <v>0.39285714285714279</v>
      </c>
    </row>
    <row r="179" spans="1:7" x14ac:dyDescent="0.15">
      <c r="A179" t="str">
        <f>HYPERLINK("./new_k5/query_cmdrels_weight_analyze/0.4_0.4_0.2/au_681312.xlsx","au_681312")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0.23809523809523811</v>
      </c>
      <c r="F179">
        <v>0.42857142857142849</v>
      </c>
      <c r="G179">
        <v>0.34523809523809518</v>
      </c>
    </row>
    <row r="180" spans="1:7" x14ac:dyDescent="0.15">
      <c r="A180" t="str">
        <f>HYPERLINK("./new_k5/query_cmdrels_weight_analyze/0.4_0.4_0.2/au_686239.xlsx","au_686239")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HYPERLINK("./new_k5/query_cmdrels_weight_analyze/0.4_0.4_0.2/au_68809.xlsx","au_68809")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0.28333333333333333</v>
      </c>
    </row>
    <row r="182" spans="1:7" x14ac:dyDescent="0.15">
      <c r="A182" t="str">
        <f>HYPERLINK("./new_k5/query_cmdrels_weight_analyze/0.4_0.4_0.2/au_69556.xlsx","au_69556")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HYPERLINK("./new_k5/query_cmdrels_weight_analyze/0.4_0.4_0.2/au_698993.xlsx","au_698993")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HYPERLINK("./new_k5/query_cmdrels_weight_analyze/0.4_0.4_0.2/au_707881.xlsx","au_707881")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HYPERLINK("./new_k5/query_cmdrels_weight_analyze/0.4_0.4_0.2/au_709594.xlsx","au_709594")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HYPERLINK("./new_k5/query_cmdrels_weight_analyze/0.4_0.4_0.2/au_71309.xlsx","au_71309")</f>
        <v>au_71309</v>
      </c>
      <c r="B186">
        <v>0.125</v>
      </c>
      <c r="C186">
        <v>0.125</v>
      </c>
      <c r="D186">
        <v>0.20833333333333329</v>
      </c>
      <c r="E186">
        <v>0.25</v>
      </c>
      <c r="F186">
        <v>0.20833333333333329</v>
      </c>
      <c r="G186">
        <v>0.34375</v>
      </c>
    </row>
    <row r="187" spans="1:7" x14ac:dyDescent="0.15">
      <c r="A187" t="str">
        <f>HYPERLINK("./new_k5/query_cmdrels_weight_analyze/0.4_0.4_0.2/au_7138.xlsx","au_7138")</f>
        <v>au_7138</v>
      </c>
      <c r="B187">
        <v>0.25</v>
      </c>
      <c r="C187">
        <v>0</v>
      </c>
      <c r="D187">
        <v>0.75</v>
      </c>
      <c r="E187">
        <v>0</v>
      </c>
      <c r="F187">
        <v>0.75</v>
      </c>
      <c r="G187">
        <v>6.25E-2</v>
      </c>
    </row>
    <row r="188" spans="1:7" x14ac:dyDescent="0.15">
      <c r="A188" t="str">
        <f>HYPERLINK("./new_k5/query_cmdrels_weight_analyze/0.4_0.4_0.2/au_72549.xlsx","au_72549")</f>
        <v>au_72549</v>
      </c>
      <c r="B188">
        <v>0</v>
      </c>
      <c r="C188">
        <v>0.25</v>
      </c>
      <c r="D188">
        <v>0</v>
      </c>
      <c r="E188">
        <v>0.25</v>
      </c>
      <c r="F188">
        <v>0</v>
      </c>
      <c r="G188">
        <v>0.25</v>
      </c>
    </row>
    <row r="189" spans="1:7" x14ac:dyDescent="0.15">
      <c r="A189" t="str">
        <f>HYPERLINK("./new_k5/query_cmdrels_weight_analyze/0.4_0.4_0.2/au_740805.xlsx","au_740805")</f>
        <v>au_740805</v>
      </c>
      <c r="B189">
        <v>0.25</v>
      </c>
      <c r="C189">
        <v>0</v>
      </c>
      <c r="D189">
        <v>0.41666666666666657</v>
      </c>
      <c r="E189">
        <v>8.3333333333333329E-2</v>
      </c>
      <c r="F189">
        <v>0.41666666666666657</v>
      </c>
      <c r="G189">
        <v>0.18333333333333329</v>
      </c>
    </row>
    <row r="190" spans="1:7" x14ac:dyDescent="0.15">
      <c r="A190" t="str">
        <f>HYPERLINK("./new_k5/query_cmdrels_weight_analyze/0.4_0.4_0.2/au_760796.xlsx","au_760796")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HYPERLINK("./new_k5/query_cmdrels_weight_analyze/0.4_0.4_0.2/au_762846.xlsx","au_762846")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0.45833333333333331</v>
      </c>
    </row>
    <row r="192" spans="1:7" x14ac:dyDescent="0.15">
      <c r="A192" t="str">
        <f>HYPERLINK("./new_k5/query_cmdrels_weight_analyze/0.4_0.4_0.2/au_767786.xlsx","au_767786")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0.76</v>
      </c>
    </row>
    <row r="193" spans="1:7" x14ac:dyDescent="0.15">
      <c r="A193" t="str">
        <f>HYPERLINK("./new_k5/query_cmdrels_weight_analyze/0.4_0.4_0.2/au_778906.xlsx","au_778906")</f>
        <v>au_778906</v>
      </c>
      <c r="B193">
        <v>0.2</v>
      </c>
      <c r="C193">
        <v>0.2</v>
      </c>
      <c r="D193">
        <v>0.33333333333333331</v>
      </c>
      <c r="E193">
        <v>0.6</v>
      </c>
      <c r="F193">
        <v>0.33333333333333331</v>
      </c>
      <c r="G193">
        <v>0.6</v>
      </c>
    </row>
    <row r="194" spans="1:7" x14ac:dyDescent="0.15">
      <c r="A194" t="str">
        <f>HYPERLINK("./new_k5/query_cmdrels_weight_analyze/0.4_0.4_0.2/au_818929.xlsx","au_818929")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0.42</v>
      </c>
    </row>
    <row r="195" spans="1:7" x14ac:dyDescent="0.15">
      <c r="A195" t="str">
        <f>HYPERLINK("./new_k5/query_cmdrels_weight_analyze/0.4_0.4_0.2/au_844876.xlsx","au_844876")</f>
        <v>au_844876</v>
      </c>
      <c r="B195">
        <v>0.5</v>
      </c>
      <c r="C195">
        <v>0.5</v>
      </c>
      <c r="D195">
        <v>0.5</v>
      </c>
      <c r="E195">
        <v>0.5</v>
      </c>
      <c r="F195">
        <v>0.5</v>
      </c>
      <c r="G195">
        <v>0.75</v>
      </c>
    </row>
    <row r="196" spans="1:7" x14ac:dyDescent="0.15">
      <c r="A196" t="str">
        <f>HYPERLINK("./new_k5/query_cmdrels_weight_analyze/0.4_0.4_0.2/au_85318.xlsx","au_85318")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0.4</v>
      </c>
    </row>
    <row r="197" spans="1:7" x14ac:dyDescent="0.15">
      <c r="A197" t="str">
        <f>HYPERLINK("./new_k5/query_cmdrels_weight_analyze/0.4_0.4_0.2/au_854332.xlsx","au_854332")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HYPERLINK("./new_k5/query_cmdrels_weight_analyze/0.4_0.4_0.2/au_854373.xlsx","au_854373")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HYPERLINK("./new_k5/query_cmdrels_weight_analyze/0.4_0.4_0.2/au_86843.xlsx","au_86843")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HYPERLINK("./new_k5/query_cmdrels_weight_analyze/0.4_0.4_0.2/au_88108.xlsx","au_88108")</f>
        <v>au_88108</v>
      </c>
      <c r="B200">
        <v>0</v>
      </c>
      <c r="C200">
        <v>0</v>
      </c>
      <c r="D200">
        <v>0.1</v>
      </c>
      <c r="E200">
        <v>0</v>
      </c>
      <c r="F200">
        <v>0.1</v>
      </c>
      <c r="G200">
        <v>0.04</v>
      </c>
    </row>
    <row r="201" spans="1:7" x14ac:dyDescent="0.15">
      <c r="A201" t="str">
        <f>HYPERLINK("./new_k5/query_cmdrels_weight_analyze/0.4_0.4_0.2/au_90214.xlsx","au_90214")</f>
        <v>au_90214</v>
      </c>
      <c r="B201">
        <v>0</v>
      </c>
      <c r="C201">
        <v>0</v>
      </c>
      <c r="D201">
        <v>0.16666666666666671</v>
      </c>
      <c r="E201">
        <v>0</v>
      </c>
      <c r="F201">
        <v>0.16666666666666671</v>
      </c>
      <c r="G201">
        <v>0.2166666666666667</v>
      </c>
    </row>
    <row r="202" spans="1:7" x14ac:dyDescent="0.15">
      <c r="A202" t="str">
        <f>HYPERLINK("./new_k5/query_cmdrels_weight_analyze/0.4_0.4_0.2/au_90339.xlsx","au_90339")</f>
        <v>au_90339</v>
      </c>
      <c r="B202">
        <v>0</v>
      </c>
      <c r="C202">
        <v>0.14285714285714279</v>
      </c>
      <c r="D202">
        <v>4.7619047619047623E-2</v>
      </c>
      <c r="E202">
        <v>0.2857142857142857</v>
      </c>
      <c r="F202">
        <v>0.2047619047619047</v>
      </c>
      <c r="G202">
        <v>0.50714285714285712</v>
      </c>
    </row>
    <row r="203" spans="1:7" x14ac:dyDescent="0.15">
      <c r="A203" t="str">
        <f>HYPERLINK("./new_k5/query_cmdrels_weight_analyze/0.4_0.4_0.2/au_91286.xlsx","au_91286")</f>
        <v>au_91286</v>
      </c>
      <c r="B203">
        <v>0.5</v>
      </c>
      <c r="C203">
        <v>0</v>
      </c>
      <c r="D203">
        <v>0.5</v>
      </c>
      <c r="E203">
        <v>0.16666666666666671</v>
      </c>
      <c r="F203">
        <v>0.5</v>
      </c>
      <c r="G203">
        <v>0.16666666666666671</v>
      </c>
    </row>
    <row r="204" spans="1:7" x14ac:dyDescent="0.15">
      <c r="A204" t="str">
        <f>HYPERLINK("./new_k5/query_cmdrels_weight_analyze/0.4_0.4_0.2/au_9135.xlsx","au_9135")</f>
        <v>au_9135</v>
      </c>
      <c r="B204">
        <v>0.1</v>
      </c>
      <c r="C204">
        <v>0</v>
      </c>
      <c r="D204">
        <v>0.16666666666666671</v>
      </c>
      <c r="E204">
        <v>0.1166666666666667</v>
      </c>
      <c r="F204">
        <v>0.24166666666666661</v>
      </c>
      <c r="G204">
        <v>0.19166666666666671</v>
      </c>
    </row>
    <row r="205" spans="1:7" x14ac:dyDescent="0.15">
      <c r="A205" t="str">
        <f>HYPERLINK("./new_k5/query_cmdrels_weight_analyze/0.4_0.4_0.2/au_935569.xlsx","au_935569")</f>
        <v>au_935569</v>
      </c>
      <c r="B205">
        <v>0.14285714285714279</v>
      </c>
      <c r="C205">
        <v>0</v>
      </c>
      <c r="D205">
        <v>0.42857142857142849</v>
      </c>
      <c r="E205">
        <v>0.16666666666666671</v>
      </c>
      <c r="F205">
        <v>0.54285714285714282</v>
      </c>
      <c r="G205">
        <v>0.16666666666666671</v>
      </c>
    </row>
    <row r="206" spans="1:7" x14ac:dyDescent="0.15">
      <c r="A206" t="str">
        <f>HYPERLINK("./new_k5/query_cmdrels_weight_analyze/0.4_0.4_0.2/au_97936.xlsx","au_97936")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HYPERLINK("./new_k5/query_cmdrels_weight_analyze/0.4_0.4_0.2/so_10235778.xlsx","so_10235778")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HYPERLINK("./new_k5/query_cmdrels_weight_analyze/0.4_0.4_0.2/so_1045910.xlsx","so_1045910")</f>
        <v>so_1045910</v>
      </c>
      <c r="B208">
        <v>0.25</v>
      </c>
      <c r="C208">
        <v>0</v>
      </c>
      <c r="D208">
        <v>0.25</v>
      </c>
      <c r="E208">
        <v>0.125</v>
      </c>
      <c r="F208">
        <v>0.25</v>
      </c>
      <c r="G208">
        <v>0.25</v>
      </c>
    </row>
    <row r="209" spans="1:7" x14ac:dyDescent="0.15">
      <c r="A209" t="str">
        <f>HYPERLINK("./new_k5/query_cmdrels_weight_analyze/0.4_0.4_0.2/so_10557360.xlsx","so_10557360")</f>
        <v>so_10557360</v>
      </c>
      <c r="B209">
        <v>0</v>
      </c>
      <c r="C209">
        <v>0</v>
      </c>
      <c r="D209">
        <v>0</v>
      </c>
      <c r="E209">
        <v>6.6666666666666666E-2</v>
      </c>
      <c r="F209">
        <v>0</v>
      </c>
      <c r="G209">
        <v>6.6666666666666666E-2</v>
      </c>
    </row>
    <row r="210" spans="1:7" x14ac:dyDescent="0.15">
      <c r="A210" t="str">
        <f>HYPERLINK("./new_k5/query_cmdrels_weight_analyze/0.4_0.4_0.2/so_1058047.xlsx","so_1058047")</f>
        <v>so_1058047</v>
      </c>
      <c r="B210">
        <v>0.25</v>
      </c>
      <c r="C210">
        <v>0.25</v>
      </c>
      <c r="D210">
        <v>0.25</v>
      </c>
      <c r="E210">
        <v>0.41666666666666657</v>
      </c>
      <c r="F210">
        <v>0.25</v>
      </c>
      <c r="G210">
        <v>0.41666666666666657</v>
      </c>
    </row>
    <row r="211" spans="1:7" x14ac:dyDescent="0.15">
      <c r="A211" t="str">
        <f>HYPERLINK("./new_k5/query_cmdrels_weight_analyze/0.4_0.4_0.2/so_10829402.xlsx","so_10829402")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HYPERLINK("./new_k5/query_cmdrels_weight_analyze/0.4_0.4_0.2/so_1088098.xlsx","so_1088098")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0.25</v>
      </c>
    </row>
    <row r="213" spans="1:7" x14ac:dyDescent="0.15">
      <c r="A213" t="str">
        <f>HYPERLINK("./new_k5/query_cmdrels_weight_analyze/0.4_0.4_0.2/so_10990949.xlsx","so_10990949")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0.5</v>
      </c>
    </row>
    <row r="214" spans="1:7" x14ac:dyDescent="0.15">
      <c r="A214" t="str">
        <f>HYPERLINK("./new_k5/query_cmdrels_weight_analyze/0.4_0.4_0.2/so_11211705.xlsx","so_11211705")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HYPERLINK("./new_k5/query_cmdrels_weight_analyze/0.4_0.4_0.2/so_112932.xlsx","so_112932")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HYPERLINK("./new_k5/query_cmdrels_weight_analyze/0.4_0.4_0.2/so_11392189.xlsx","so_11392189")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0.18333333333333329</v>
      </c>
    </row>
    <row r="217" spans="1:7" x14ac:dyDescent="0.15">
      <c r="A217" t="str">
        <f>HYPERLINK("./new_k5/query_cmdrels_weight_analyze/0.4_0.4_0.2/so_1183183.xlsx","so_1183183")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0.25</v>
      </c>
    </row>
    <row r="218" spans="1:7" x14ac:dyDescent="0.15">
      <c r="A218" t="str">
        <f>HYPERLINK("./new_k5/query_cmdrels_weight_analyze/0.4_0.4_0.2/so_1194882.xlsx","so_1194882")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HYPERLINK("./new_k5/query_cmdrels_weight_analyze/0.4_0.4_0.2/so_12120935.xlsx","so_12120935")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HYPERLINK("./new_k5/query_cmdrels_weight_analyze/0.4_0.4_0.2/so_12313384.xlsx","so_12313384")</f>
        <v>so_12313384</v>
      </c>
      <c r="B220">
        <v>0</v>
      </c>
      <c r="C220">
        <v>0.33333333333333331</v>
      </c>
      <c r="D220">
        <v>0.16666666666666671</v>
      </c>
      <c r="E220">
        <v>0.66666666666666663</v>
      </c>
      <c r="F220">
        <v>0.16666666666666671</v>
      </c>
      <c r="G220">
        <v>0.66666666666666663</v>
      </c>
    </row>
    <row r="221" spans="1:7" x14ac:dyDescent="0.15">
      <c r="A221" t="str">
        <f>HYPERLINK("./new_k5/query_cmdrels_weight_analyze/0.4_0.4_0.2/so_12392598.xlsx","so_12392598")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HYPERLINK("./new_k5/query_cmdrels_weight_analyze/0.4_0.4_0.2/so_1241801.xlsx","so_1241801")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HYPERLINK("./new_k5/query_cmdrels_weight_analyze/0.4_0.4_0.2/so_12522269.xlsx","so_12522269")</f>
        <v>so_12522269</v>
      </c>
      <c r="B223">
        <v>0.2</v>
      </c>
      <c r="C223">
        <v>0.2</v>
      </c>
      <c r="D223">
        <v>0.2</v>
      </c>
      <c r="E223">
        <v>0.2</v>
      </c>
      <c r="F223">
        <v>0.28000000000000003</v>
      </c>
      <c r="G223">
        <v>0.2</v>
      </c>
    </row>
    <row r="224" spans="1:7" x14ac:dyDescent="0.15">
      <c r="A224" t="str">
        <f>HYPERLINK("./new_k5/query_cmdrels_weight_analyze/0.4_0.4_0.2/so_1293907.xlsx","so_1293907")</f>
        <v>so_1293907</v>
      </c>
      <c r="B224">
        <v>0</v>
      </c>
      <c r="C224">
        <v>0.33333333333333331</v>
      </c>
      <c r="D224">
        <v>0</v>
      </c>
      <c r="E224">
        <v>0.66666666666666663</v>
      </c>
      <c r="F224">
        <v>8.3333333333333329E-2</v>
      </c>
      <c r="G224">
        <v>0.8666666666666667</v>
      </c>
    </row>
    <row r="225" spans="1:7" x14ac:dyDescent="0.15">
      <c r="A225" t="str">
        <f>HYPERLINK("./new_k5/query_cmdrels_weight_analyze/0.4_0.4_0.2/so_13428910.xlsx","so_13428910")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HYPERLINK("./new_k5/query_cmdrels_weight_analyze/0.4_0.4_0.2/so_135688.xlsx","so_135688")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HYPERLINK("./new_k5/query_cmdrels_weight_analyze/0.4_0.4_0.2/so_13778273.xlsx","so_13778273")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HYPERLINK("./new_k5/query_cmdrels_weight_analyze/0.4_0.4_0.2/so_1405611.xlsx","so_1405611")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0.16666666666666671</v>
      </c>
      <c r="F228">
        <v>0.33333333333333331</v>
      </c>
      <c r="G228">
        <v>0.16666666666666671</v>
      </c>
    </row>
    <row r="229" spans="1:7" x14ac:dyDescent="0.15">
      <c r="A229" t="str">
        <f>HYPERLINK("./new_k5/query_cmdrels_weight_analyze/0.4_0.4_0.2/so_14300794.xlsx","so_14300794")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HYPERLINK("./new_k5/query_cmdrels_weight_analyze/0.4_0.4_0.2/so_143791.xlsx","so_143791")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HYPERLINK("./new_k5/query_cmdrels_weight_analyze/0.4_0.4_0.2/so_14750650.xlsx","so_14750650")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6.25E-2</v>
      </c>
    </row>
    <row r="232" spans="1:7" x14ac:dyDescent="0.15">
      <c r="A232" t="str">
        <f>HYPERLINK("./new_k5/query_cmdrels_weight_analyze/0.4_0.4_0.2/so_14978411.xlsx","so_14978411")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HYPERLINK("./new_k5/query_cmdrels_weight_analyze/0.4_0.4_0.2/so_15236308.xlsx","so_15236308")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HYPERLINK("./new_k5/query_cmdrels_weight_analyze/0.4_0.4_0.2/so_15286947.xlsx","so_15286947")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HYPERLINK("./new_k5/query_cmdrels_weight_analyze/0.4_0.4_0.2/so_15402770.xlsx","so_15402770")</f>
        <v>so_15402770</v>
      </c>
      <c r="B235">
        <v>0</v>
      </c>
      <c r="C235">
        <v>0.16666666666666671</v>
      </c>
      <c r="D235">
        <v>0.19444444444444439</v>
      </c>
      <c r="E235">
        <v>0.5</v>
      </c>
      <c r="F235">
        <v>0.19444444444444439</v>
      </c>
      <c r="G235">
        <v>0.66666666666666663</v>
      </c>
    </row>
    <row r="236" spans="1:7" x14ac:dyDescent="0.15">
      <c r="A236" t="str">
        <f>HYPERLINK("./new_k5/query_cmdrels_weight_analyze/0.4_0.4_0.2/so_1570262.xlsx","so_1570262")</f>
        <v>so_1570262</v>
      </c>
      <c r="B236">
        <v>0</v>
      </c>
      <c r="C236">
        <v>0</v>
      </c>
      <c r="D236">
        <v>0</v>
      </c>
      <c r="E236">
        <v>6.6666666666666666E-2</v>
      </c>
      <c r="F236">
        <v>0</v>
      </c>
      <c r="G236">
        <v>0.16666666666666671</v>
      </c>
    </row>
    <row r="237" spans="1:7" x14ac:dyDescent="0.15">
      <c r="A237" t="str">
        <f>HYPERLINK("./new_k5/query_cmdrels_weight_analyze/0.4_0.4_0.2/so_1583219.xlsx","so_1583219")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HYPERLINK("./new_k5/query_cmdrels_weight_analyze/0.4_0.4_0.2/so_15872543.xlsx","so_15872543")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HYPERLINK("./new_k5/query_cmdrels_weight_analyze/0.4_0.4_0.2/so_16038087.xlsx","so_16038087")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0.5714285714285714</v>
      </c>
    </row>
    <row r="240" spans="1:7" x14ac:dyDescent="0.15">
      <c r="A240" t="str">
        <f>HYPERLINK("./new_k5/query_cmdrels_weight_analyze/0.4_0.4_0.2/so_16212656.xlsx","so_16212656")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HYPERLINK("./new_k5/query_cmdrels_weight_analyze/0.4_0.4_0.2/so_16575419.xlsx","so_16575419")</f>
        <v>so_16575419</v>
      </c>
      <c r="B241">
        <v>0.25</v>
      </c>
      <c r="C241">
        <v>0.25</v>
      </c>
      <c r="D241">
        <v>0.25</v>
      </c>
      <c r="E241">
        <v>0.75</v>
      </c>
      <c r="F241">
        <v>0.25</v>
      </c>
      <c r="G241">
        <v>0.75</v>
      </c>
    </row>
    <row r="242" spans="1:7" x14ac:dyDescent="0.15">
      <c r="A242" t="str">
        <f>HYPERLINK("./new_k5/query_cmdrels_weight_analyze/0.4_0.4_0.2/so_17582768.xlsx","so_17582768")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8.3333333333333329E-2</v>
      </c>
    </row>
    <row r="243" spans="1:7" x14ac:dyDescent="0.15">
      <c r="A243" t="str">
        <f>HYPERLINK("./new_k5/query_cmdrels_weight_analyze/0.4_0.4_0.2/so_17607612.xlsx","so_17607612")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HYPERLINK("./new_k5/query_cmdrels_weight_analyze/0.4_0.4_0.2/so_17829785.xlsx","so_17829785")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HYPERLINK("./new_k5/query_cmdrels_weight_analyze/0.4_0.4_0.2/so_1839841.xlsx","so_1839841")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HYPERLINK("./new_k5/query_cmdrels_weight_analyze/0.4_0.4_0.2/so_18468716.xlsx","so_18468716")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0.46666666666666662</v>
      </c>
    </row>
    <row r="247" spans="1:7" x14ac:dyDescent="0.15">
      <c r="A247" t="str">
        <f>HYPERLINK("./new_k5/query_cmdrels_weight_analyze/0.4_0.4_0.2/so_19196105.xlsx","so_19196105")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HYPERLINK("./new_k5/query_cmdrels_weight_analyze/0.4_0.4_0.2/so_19482123.xlsx","so_19482123")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HYPERLINK("./new_k5/query_cmdrels_weight_analyze/0.4_0.4_0.2/so_1975849.xlsx","so_1975849")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HYPERLINK("./new_k5/query_cmdrels_weight_analyze/0.4_0.4_0.2/so_212528.xlsx","so_212528")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0.45833333333333331</v>
      </c>
    </row>
    <row r="251" spans="1:7" x14ac:dyDescent="0.15">
      <c r="A251" t="str">
        <f>HYPERLINK("./new_k5/query_cmdrels_weight_analyze/0.4_0.4_0.2/so_21620406.xlsx","so_21620406")</f>
        <v>so_21620406</v>
      </c>
      <c r="B251">
        <v>0</v>
      </c>
      <c r="C251">
        <v>0</v>
      </c>
      <c r="D251">
        <v>0.1111111111111111</v>
      </c>
      <c r="E251">
        <v>0.1111111111111111</v>
      </c>
      <c r="F251">
        <v>0.1111111111111111</v>
      </c>
      <c r="G251">
        <v>0.1111111111111111</v>
      </c>
    </row>
    <row r="252" spans="1:7" x14ac:dyDescent="0.15">
      <c r="A252" t="str">
        <f>HYPERLINK("./new_k5/query_cmdrels_weight_analyze/0.4_0.4_0.2/so_23509348.xlsx","so_23509348")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HYPERLINK("./new_k5/query_cmdrels_weight_analyze/0.4_0.4_0.2/so_24058544.xlsx","so_24058544")</f>
        <v>so_24058544</v>
      </c>
      <c r="B253">
        <v>0.2</v>
      </c>
      <c r="C253">
        <v>0.2</v>
      </c>
      <c r="D253">
        <v>0.2</v>
      </c>
      <c r="E253">
        <v>0.33333333333333331</v>
      </c>
      <c r="F253">
        <v>0.2</v>
      </c>
      <c r="G253">
        <v>0.33333333333333331</v>
      </c>
    </row>
    <row r="254" spans="1:7" x14ac:dyDescent="0.15">
      <c r="A254" t="str">
        <f>HYPERLINK("./new_k5/query_cmdrels_weight_analyze/0.4_0.4_0.2/so_24283097.xlsx","so_24283097")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HYPERLINK("./new_k5/query_cmdrels_weight_analyze/0.4_0.4_0.2/so_26256279.xlsx","so_26256279")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HYPERLINK("./new_k5/query_cmdrels_weight_analyze/0.4_0.4_0.2/so_26331651.xlsx","so_26331651")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HYPERLINK("./new_k5/query_cmdrels_weight_analyze/0.4_0.4_0.2/so_26988262.xlsx","so_26988262")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HYPERLINK("./new_k5/query_cmdrels_weight_analyze/0.4_0.4_0.2/so_27238411.xlsx","so_27238411")</f>
        <v>so_27238411</v>
      </c>
      <c r="B258">
        <v>0.2</v>
      </c>
      <c r="C258">
        <v>0.2</v>
      </c>
      <c r="D258">
        <v>0.6</v>
      </c>
      <c r="E258">
        <v>0.6</v>
      </c>
      <c r="F258">
        <v>0.6</v>
      </c>
      <c r="G258">
        <v>0.6</v>
      </c>
    </row>
    <row r="259" spans="1:7" x14ac:dyDescent="0.15">
      <c r="A259" t="str">
        <f>HYPERLINK("./new_k5/query_cmdrels_weight_analyze/0.4_0.4_0.2/so_27943059.xlsx","so_27943059")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0.33333333333333331</v>
      </c>
      <c r="F259">
        <v>0.16666666666666671</v>
      </c>
      <c r="G259">
        <v>0.5</v>
      </c>
    </row>
    <row r="260" spans="1:7" x14ac:dyDescent="0.15">
      <c r="A260" t="str">
        <f>HYPERLINK("./new_k5/query_cmdrels_weight_analyze/0.4_0.4_0.2/so_28869004.xlsx","so_28869004")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HYPERLINK("./new_k5/query_cmdrels_weight_analyze/0.4_0.4_0.2/so_2973624.xlsx","so_2973624")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1</v>
      </c>
      <c r="F261">
        <v>0.66666666666666663</v>
      </c>
      <c r="G261">
        <v>1</v>
      </c>
    </row>
    <row r="262" spans="1:7" x14ac:dyDescent="0.15">
      <c r="A262" t="str">
        <f>HYPERLINK("./new_k5/query_cmdrels_weight_analyze/0.4_0.4_0.2/so_30177455.xlsx","so_30177455")</f>
        <v>so_30177455</v>
      </c>
      <c r="B262">
        <v>0</v>
      </c>
      <c r="C262">
        <v>0</v>
      </c>
      <c r="D262">
        <v>0.16666666666666671</v>
      </c>
      <c r="E262">
        <v>0.1111111111111111</v>
      </c>
      <c r="F262">
        <v>0.16666666666666671</v>
      </c>
      <c r="G262">
        <v>0.1111111111111111</v>
      </c>
    </row>
    <row r="263" spans="1:7" x14ac:dyDescent="0.15">
      <c r="A263" t="str">
        <f>HYPERLINK("./new_k5/query_cmdrels_weight_analyze/0.4_0.4_0.2/so_30251889.xlsx","so_30251889")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0.6791666666666667</v>
      </c>
    </row>
    <row r="264" spans="1:7" x14ac:dyDescent="0.15">
      <c r="A264" t="str">
        <f>HYPERLINK("./new_k5/query_cmdrels_weight_analyze/0.4_0.4_0.2/so_305035.xlsx","so_305035")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HYPERLINK("./new_k5/query_cmdrels_weight_analyze/0.4_0.4_0.2/so_36249744.xlsx","so_36249744")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HYPERLINK("./new_k5/query_cmdrels_weight_analyze/0.4_0.4_0.2/so_3643848.xlsx","so_3643848")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HYPERLINK("./new_k5/query_cmdrels_weight_analyze/0.4_0.4_0.2/so_3667329.xlsx","so_3667329")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HYPERLINK("./new_k5/query_cmdrels_weight_analyze/0.4_0.4_0.2/so_369758.xlsx","so_369758")</f>
        <v>so_369758</v>
      </c>
      <c r="B268">
        <v>0.2</v>
      </c>
      <c r="C268">
        <v>0.2</v>
      </c>
      <c r="D268">
        <v>0.4</v>
      </c>
      <c r="E268">
        <v>0.33333333333333331</v>
      </c>
      <c r="F268">
        <v>0.4</v>
      </c>
      <c r="G268">
        <v>0.48333333333333328</v>
      </c>
    </row>
    <row r="269" spans="1:7" x14ac:dyDescent="0.15">
      <c r="A269" t="str">
        <f>HYPERLINK("./new_k5/query_cmdrels_weight_analyze/0.4_0.4_0.2/so_3756323.xlsx","so_3756323")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</v>
      </c>
    </row>
    <row r="270" spans="1:7" x14ac:dyDescent="0.15">
      <c r="A270" t="str">
        <f>HYPERLINK("./new_k5/query_cmdrels_weight_analyze/0.4_0.4_0.2/so_3767267.xlsx","so_3767267")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HYPERLINK("./new_k5/query_cmdrels_weight_analyze/0.4_0.4_0.2/so_3833578.xlsx","so_3833578")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HYPERLINK("./new_k5/query_cmdrels_weight_analyze/0.4_0.4_0.2/so_3891076.xlsx","so_3891076")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0.52500000000000002</v>
      </c>
    </row>
    <row r="273" spans="1:7" x14ac:dyDescent="0.15">
      <c r="A273" t="str">
        <f>HYPERLINK("./new_k5/query_cmdrels_weight_analyze/0.4_0.4_0.2/so_3963085.xlsx","so_3963085")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HYPERLINK("./new_k5/query_cmdrels_weight_analyze/0.4_0.4_0.2/so_4325216.xlsx","so_4325216")</f>
        <v>so_4325216</v>
      </c>
      <c r="B274">
        <v>0.5</v>
      </c>
      <c r="C274">
        <v>0.5</v>
      </c>
      <c r="D274">
        <v>0.5</v>
      </c>
      <c r="E274">
        <v>0.83333333333333326</v>
      </c>
      <c r="F274">
        <v>0.5</v>
      </c>
      <c r="G274">
        <v>0.83333333333333326</v>
      </c>
    </row>
    <row r="275" spans="1:7" x14ac:dyDescent="0.15">
      <c r="A275" t="str">
        <f>HYPERLINK("./new_k5/query_cmdrels_weight_analyze/0.4_0.4_0.2/so_448005.xlsx","so_448005")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HYPERLINK("./new_k5/query_cmdrels_weight_analyze/0.4_0.4_0.2/so_4921879.xlsx","so_4921879")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HYPERLINK("./new_k5/query_cmdrels_weight_analyze/0.4_0.4_0.2/so_4922943.xlsx","so_4922943")</f>
        <v>so_4922943</v>
      </c>
      <c r="B277">
        <v>0.2</v>
      </c>
      <c r="C277">
        <v>0.2</v>
      </c>
      <c r="D277">
        <v>0.33333333333333331</v>
      </c>
      <c r="E277">
        <v>0.33333333333333331</v>
      </c>
      <c r="F277">
        <v>0.33333333333333331</v>
      </c>
      <c r="G277">
        <v>0.33333333333333331</v>
      </c>
    </row>
    <row r="278" spans="1:7" x14ac:dyDescent="0.15">
      <c r="A278" t="str">
        <f>HYPERLINK("./new_k5/query_cmdrels_weight_analyze/0.4_0.4_0.2/so_5119946.xlsx","so_5119946")</f>
        <v>so_5119946</v>
      </c>
      <c r="B278">
        <v>0.5</v>
      </c>
      <c r="C278">
        <v>0</v>
      </c>
      <c r="D278">
        <v>0.5</v>
      </c>
      <c r="E278">
        <v>0</v>
      </c>
      <c r="F278">
        <v>0.5</v>
      </c>
      <c r="G278">
        <v>0</v>
      </c>
    </row>
    <row r="279" spans="1:7" x14ac:dyDescent="0.15">
      <c r="A279" t="str">
        <f>HYPERLINK("./new_k5/query_cmdrels_weight_analyze/0.4_0.4_0.2/so_5164985.xlsx","so_5164985")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HYPERLINK("./new_k5/query_cmdrels_weight_analyze/0.4_0.4_0.2/so_5306153.xlsx","so_5306153")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HYPERLINK("./new_k5/query_cmdrels_weight_analyze/0.4_0.4_0.2/so_5566310.xlsx","so_5566310")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HYPERLINK("./new_k5/query_cmdrels_weight_analyze/0.4_0.4_0.2/so_5927369.xlsx","so_5927369")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HYPERLINK("./new_k5/query_cmdrels_weight_analyze/0.4_0.4_0.2/so_5947742.xlsx","so_5947742")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HYPERLINK("./new_k5/query_cmdrels_weight_analyze/0.4_0.4_0.2/so_614795.xlsx","so_614795")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HYPERLINK("./new_k5/query_cmdrels_weight_analyze/0.4_0.4_0.2/so_6207573.xlsx","so_6207573")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0.2857142857142857</v>
      </c>
      <c r="F285">
        <v>0.37142857142857139</v>
      </c>
      <c r="G285">
        <v>0.39285714285714279</v>
      </c>
    </row>
    <row r="286" spans="1:7" x14ac:dyDescent="0.15">
      <c r="A286" t="str">
        <f>HYPERLINK("./new_k5/query_cmdrels_weight_analyze/0.4_0.4_0.2/so_6283167.xlsx","so_6283167")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HYPERLINK("./new_k5/query_cmdrels_weight_analyze/0.4_0.4_0.2/so_6329505.xlsx","so_6329505")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HYPERLINK("./new_k5/query_cmdrels_weight_analyze/0.4_0.4_0.2/so_6423532.xlsx","so_6423532")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HYPERLINK("./new_k5/query_cmdrels_weight_analyze/0.4_0.4_0.2/so_669438.xlsx","so_669438")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0.33333333333333331</v>
      </c>
    </row>
    <row r="290" spans="1:7" x14ac:dyDescent="0.15">
      <c r="A290" t="str">
        <f>HYPERLINK("./new_k5/query_cmdrels_weight_analyze/0.4_0.4_0.2/so_7052875.xlsx","so_7052875")</f>
        <v>so_7052875</v>
      </c>
      <c r="B290">
        <v>0.2</v>
      </c>
      <c r="C290">
        <v>0.2</v>
      </c>
      <c r="D290">
        <v>0.2</v>
      </c>
      <c r="E290">
        <v>0.2</v>
      </c>
      <c r="F290">
        <v>0.2</v>
      </c>
      <c r="G290">
        <v>0.3</v>
      </c>
    </row>
    <row r="291" spans="1:7" x14ac:dyDescent="0.15">
      <c r="A291" t="str">
        <f>HYPERLINK("./new_k5/query_cmdrels_weight_analyze/0.4_0.4_0.2/so_7221757.xlsx","so_7221757")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HYPERLINK("./new_k5/query_cmdrels_weight_analyze/0.4_0.4_0.2/so_750604.xlsx","so_750604")</f>
        <v>so_750604</v>
      </c>
      <c r="B292">
        <v>0</v>
      </c>
      <c r="C292">
        <v>0</v>
      </c>
      <c r="D292">
        <v>0.1111111111111111</v>
      </c>
      <c r="E292">
        <v>0.16666666666666671</v>
      </c>
      <c r="F292">
        <v>0.1111111111111111</v>
      </c>
      <c r="G292">
        <v>0.33333333333333331</v>
      </c>
    </row>
    <row r="293" spans="1:7" x14ac:dyDescent="0.15">
      <c r="A293" t="str">
        <f>HYPERLINK("./new_k5/query_cmdrels_weight_analyze/0.4_0.4_0.2/so_7575267.xlsx","so_7575267")</f>
        <v>so_7575267</v>
      </c>
      <c r="B293">
        <v>0</v>
      </c>
      <c r="C293">
        <v>0.25</v>
      </c>
      <c r="D293">
        <v>0</v>
      </c>
      <c r="E293">
        <v>0.75</v>
      </c>
      <c r="F293">
        <v>0</v>
      </c>
      <c r="G293">
        <v>0.75</v>
      </c>
    </row>
    <row r="294" spans="1:7" x14ac:dyDescent="0.15">
      <c r="A294" t="str">
        <f>HYPERLINK("./new_k5/query_cmdrels_weight_analyze/0.4_0.4_0.2/so_7698488.xlsx","so_7698488")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0.16250000000000001</v>
      </c>
    </row>
    <row r="295" spans="1:7" x14ac:dyDescent="0.15">
      <c r="A295" t="str">
        <f>HYPERLINK("./new_k5/query_cmdrels_weight_analyze/0.4_0.4_0.2/so_801095.xlsx","so_801095")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0.33333333333333331</v>
      </c>
      <c r="F295">
        <v>0.33333333333333331</v>
      </c>
      <c r="G295">
        <v>0.5</v>
      </c>
    </row>
    <row r="296" spans="1:7" x14ac:dyDescent="0.15">
      <c r="A296" t="str">
        <f>HYPERLINK("./new_k5/query_cmdrels_weight_analyze/0.4_0.4_0.2/so_8249705.xlsx","so_8249705")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HYPERLINK("./new_k5/query_cmdrels_weight_analyze/0.4_0.4_0.2/so_8423541.xlsx","so_8423541")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HYPERLINK("./new_k5/query_cmdrels_weight_analyze/0.4_0.4_0.2/so_8654051.xlsx","so_8654051")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HYPERLINK("./new_k5/query_cmdrels_weight_analyze/0.4_0.4_0.2/so_890262.xlsx","so_890262")</f>
        <v>so_890262</v>
      </c>
      <c r="B299">
        <v>0</v>
      </c>
      <c r="C299">
        <v>0</v>
      </c>
      <c r="D299">
        <v>0</v>
      </c>
      <c r="E299">
        <v>0.1111111111111111</v>
      </c>
      <c r="F299">
        <v>0</v>
      </c>
      <c r="G299">
        <v>0.27777777777777768</v>
      </c>
    </row>
    <row r="300" spans="1:7" x14ac:dyDescent="0.15">
      <c r="A300" t="str">
        <f>HYPERLINK("./new_k5/query_cmdrels_weight_analyze/0.4_0.4_0.2/so_893585.xlsx","so_893585")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HYPERLINK("./new_k5/query_cmdrels_weight_analyze/0.4_0.4_0.2/so_9223460.xlsx","so_9223460")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HYPERLINK("./new_k5/query_cmdrels_weight_analyze/0.4_0.4_0.2/so_9245638.xlsx","so_9245638")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HYPERLINK("./new_k5/query_cmdrels_weight_analyze/0.4_0.4_0.2/so_9304953.xlsx","so_9304953")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0.6</v>
      </c>
    </row>
    <row r="304" spans="1:7" x14ac:dyDescent="0.15">
      <c r="A304" t="str">
        <f>HYPERLINK("./new_k5/query_cmdrels_weight_analyze/0.4_0.4_0.2/so_9361816.xlsx","so_9361816")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HYPERLINK("./new_k5/query_cmdrels_weight_analyze/0.4_0.4_0.2/su_116617.xlsx","su_116617")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HYPERLINK("./new_k5/query_cmdrels_weight_analyze/0.4_0.4_0.2/su_120045.xlsx","su_120045")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HYPERLINK("./new_k5/query_cmdrels_weight_analyze/0.4_0.4_0.2/su_127863.xlsx","su_127863")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HYPERLINK("./new_k5/query_cmdrels_weight_analyze/0.4_0.4_0.2/su_135498.xlsx","su_135498")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HYPERLINK("./new_k5/query_cmdrels_weight_analyze/0.4_0.4_0.2/su_147027.xlsx","su_147027")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HYPERLINK("./new_k5/query_cmdrels_weight_analyze/0.4_0.4_0.2/su_151911.xlsx","su_151911")</f>
        <v>su_151911</v>
      </c>
      <c r="B310">
        <v>0</v>
      </c>
      <c r="C310">
        <v>0</v>
      </c>
      <c r="D310">
        <v>0</v>
      </c>
      <c r="E310">
        <v>8.3333333333333329E-2</v>
      </c>
      <c r="F310">
        <v>0</v>
      </c>
      <c r="G310">
        <v>8.3333333333333329E-2</v>
      </c>
    </row>
    <row r="311" spans="1:7" x14ac:dyDescent="0.15">
      <c r="A311" t="str">
        <f>HYPERLINK("./new_k5/query_cmdrels_weight_analyze/0.4_0.4_0.2/su_153415.xlsx","su_153415")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HYPERLINK("./new_k5/query_cmdrels_weight_analyze/0.4_0.4_0.2/su_156189.xlsx","su_156189")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0.27777777777777768</v>
      </c>
    </row>
    <row r="313" spans="1:7" x14ac:dyDescent="0.15">
      <c r="A313" t="str">
        <f>HYPERLINK("./new_k5/query_cmdrels_weight_analyze/0.4_0.4_0.2/su_161531.xlsx","su_161531")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HYPERLINK("./new_k5/query_cmdrels_weight_analyze/0.4_0.4_0.2/su_204209.xlsx","su_204209")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HYPERLINK("./new_k5/query_cmdrels_weight_analyze/0.4_0.4_0.2/su_214390.xlsx","su_214390")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HYPERLINK("./new_k5/query_cmdrels_weight_analyze/0.4_0.4_0.2/su_215483.xlsx","su_215483")</f>
        <v>su_215483</v>
      </c>
      <c r="B316">
        <v>0.5</v>
      </c>
      <c r="C316">
        <v>0.5</v>
      </c>
      <c r="D316">
        <v>1</v>
      </c>
      <c r="E316">
        <v>0.5</v>
      </c>
      <c r="F316">
        <v>1</v>
      </c>
      <c r="G316">
        <v>0.5</v>
      </c>
    </row>
    <row r="317" spans="1:7" x14ac:dyDescent="0.15">
      <c r="A317" t="str">
        <f>HYPERLINK("./new_k5/query_cmdrels_weight_analyze/0.4_0.4_0.2/su_215504.xlsx","su_215504")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0.47916666666666657</v>
      </c>
    </row>
    <row r="318" spans="1:7" x14ac:dyDescent="0.15">
      <c r="A318" t="str">
        <f>HYPERLINK("./new_k5/query_cmdrels_weight_analyze/0.4_0.4_0.2/su_227385.xlsx","su_227385")</f>
        <v>su_227385</v>
      </c>
      <c r="B318">
        <v>0</v>
      </c>
      <c r="C318">
        <v>0</v>
      </c>
      <c r="D318">
        <v>0</v>
      </c>
      <c r="E318">
        <v>0.29166666666666657</v>
      </c>
      <c r="F318">
        <v>0</v>
      </c>
      <c r="G318">
        <v>0.6791666666666667</v>
      </c>
    </row>
    <row r="319" spans="1:7" x14ac:dyDescent="0.15">
      <c r="A319" t="str">
        <f>HYPERLINK("./new_k5/query_cmdrels_weight_analyze/0.4_0.4_0.2/su_273254.xlsx","su_273254")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HYPERLINK("./new_k5/query_cmdrels_weight_analyze/0.4_0.4_0.2/su_294161.xlsx","su_294161")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HYPERLINK("./new_k5/query_cmdrels_weight_analyze/0.4_0.4_0.2/su_302396.xlsx","su_302396")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HYPERLINK("./new_k5/query_cmdrels_weight_analyze/0.4_0.4_0.2/su_303981.xlsx","su_303981")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HYPERLINK("./new_k5/query_cmdrels_weight_analyze/0.4_0.4_0.2/su_305128.xlsx","su_305128")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HYPERLINK("./new_k5/query_cmdrels_weight_analyze/0.4_0.4_0.2/su_31512.xlsx","su_31512")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HYPERLINK("./new_k5/query_cmdrels_weight_analyze/0.4_0.4_0.2/su_380520.xlsx","su_380520")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0.33333333333333331</v>
      </c>
    </row>
    <row r="326" spans="1:7" x14ac:dyDescent="0.15">
      <c r="A326" t="str">
        <f>HYPERLINK("./new_k5/query_cmdrels_weight_analyze/0.4_0.4_0.2/su_38981.xlsx","su_38981")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HYPERLINK("./new_k5/query_cmdrels_weight_analyze/0.4_0.4_0.2/su_437330.xlsx","su_437330")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HYPERLINK("./new_k5/query_cmdrels_weight_analyze/0.4_0.4_0.2/su_441379.xlsx","su_441379")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HYPERLINK("./new_k5/query_cmdrels_weight_analyze/0.4_0.4_0.2/su_462788.xlsx","su_462788")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0.33333333333333331</v>
      </c>
      <c r="F329">
        <v>0.30555555555555558</v>
      </c>
      <c r="G329">
        <v>0.42222222222222222</v>
      </c>
    </row>
    <row r="330" spans="1:7" x14ac:dyDescent="0.15">
      <c r="A330" t="str">
        <f>HYPERLINK("./new_k5/query_cmdrels_weight_analyze/0.4_0.4_0.2/su_626606.xlsx","su_626606")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0.83333333333333337</v>
      </c>
    </row>
    <row r="331" spans="1:7" x14ac:dyDescent="0.15">
      <c r="A331" t="str">
        <f>HYPERLINK("./new_k5/query_cmdrels_weight_analyze/0.4_0.4_0.2/su_634469.xlsx","su_634469")</f>
        <v>su_634469</v>
      </c>
      <c r="B331">
        <v>0</v>
      </c>
      <c r="C331">
        <v>0.16666666666666671</v>
      </c>
      <c r="D331">
        <v>0</v>
      </c>
      <c r="E331">
        <v>0.27777777777777768</v>
      </c>
      <c r="F331">
        <v>0</v>
      </c>
      <c r="G331">
        <v>0.37777777777777782</v>
      </c>
    </row>
    <row r="332" spans="1:7" x14ac:dyDescent="0.15">
      <c r="A332" t="str">
        <f>HYPERLINK("./new_k5/query_cmdrels_weight_analyze/0.4_0.4_0.2/su_638616.xlsx","su_638616")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HYPERLINK("./new_k5/query_cmdrels_weight_analyze/0.4_0.4_0.2/su_678113.xlsx","su_678113")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HYPERLINK("./new_k5/query_cmdrels_weight_analyze/0.4_0.4_0.2/su_686394.xlsx","su_686394")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HYPERLINK("./new_k5/query_cmdrels_weight_analyze/0.4_0.4_0.2/su_716795.xlsx","su_716795")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0.125</v>
      </c>
    </row>
    <row r="336" spans="1:7" x14ac:dyDescent="0.15">
      <c r="A336" t="str">
        <f>HYPERLINK("./new_k5/query_cmdrels_weight_analyze/0.4_0.4_0.2/su_758463.xlsx","su_758463")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HYPERLINK("./new_k5/query_cmdrels_weight_analyze/0.4_0.4_0.2/su_766437.xlsx","su_766437")</f>
        <v>su_766437</v>
      </c>
      <c r="B337">
        <v>0</v>
      </c>
      <c r="C337">
        <v>0</v>
      </c>
      <c r="D337">
        <v>0</v>
      </c>
      <c r="E337">
        <v>0.1</v>
      </c>
      <c r="F337">
        <v>0.05</v>
      </c>
      <c r="G337">
        <v>0.32</v>
      </c>
    </row>
    <row r="338" spans="1:7" x14ac:dyDescent="0.15">
      <c r="A338" t="str">
        <f>HYPERLINK("./new_k5/query_cmdrels_weight_analyze/0.4_0.4_0.2/su_904001.xlsx","su_904001")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HYPERLINK("./new_k5/query_cmdrels_weight_analyze/0.4_0.4_0.2/ul_100959.xlsx","ul_100959")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HYPERLINK("./new_k5/query_cmdrels_weight_analyze/0.4_0.4_0.2/ul_101073.xlsx","ul_101073")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HYPERLINK("./new_k5/query_cmdrels_weight_analyze/0.4_0.4_0.2/ul_101237.xlsx","ul_101237")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HYPERLINK("./new_k5/query_cmdrels_weight_analyze/0.4_0.4_0.2/ul_102752.xlsx","ul_102752")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HYPERLINK("./new_k5/query_cmdrels_weight_analyze/0.4_0.4_0.2/ul_108174.xlsx","ul_108174")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HYPERLINK("./new_k5/query_cmdrels_weight_analyze/0.4_0.4_0.2/ul_109536.xlsx","ul_109536")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HYPERLINK("./new_k5/query_cmdrels_weight_analyze/0.4_0.4_0.2/ul_112050.xlsx","ul_112050")</f>
        <v>ul_112050</v>
      </c>
      <c r="B345">
        <v>0</v>
      </c>
      <c r="C345">
        <v>0.25</v>
      </c>
      <c r="D345">
        <v>0.125</v>
      </c>
      <c r="E345">
        <v>0.75</v>
      </c>
      <c r="F345">
        <v>0.125</v>
      </c>
      <c r="G345">
        <v>0.75</v>
      </c>
    </row>
    <row r="346" spans="1:7" x14ac:dyDescent="0.15">
      <c r="A346" t="str">
        <f>HYPERLINK("./new_k5/query_cmdrels_weight_analyze/0.4_0.4_0.2/ul_116070.xlsx","ul_116070")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HYPERLINK("./new_k5/query_cmdrels_weight_analyze/0.4_0.4_0.2/ul_11851.xlsx","ul_11851")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HYPERLINK("./new_k5/query_cmdrels_weight_analyze/0.4_0.4_0.2/ul_119126.xlsx","ul_119126")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HYPERLINK("./new_k5/query_cmdrels_weight_analyze/0.4_0.4_0.2/ul_121718.xlsx","ul_121718")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HYPERLINK("./new_k5/query_cmdrels_weight_analyze/0.4_0.4_0.2/ul_12227.xlsx","ul_12227")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HYPERLINK("./new_k5/query_cmdrels_weight_analyze/0.4_0.4_0.2/ul_12453.xlsx","ul_12453")</f>
        <v>ul_12453</v>
      </c>
      <c r="B351">
        <v>0</v>
      </c>
      <c r="C351">
        <v>0.25</v>
      </c>
      <c r="D351">
        <v>0.125</v>
      </c>
      <c r="E351">
        <v>0.75</v>
      </c>
      <c r="F351">
        <v>0.125</v>
      </c>
      <c r="G351">
        <v>1</v>
      </c>
    </row>
    <row r="352" spans="1:7" x14ac:dyDescent="0.15">
      <c r="A352" t="str">
        <f>HYPERLINK("./new_k5/query_cmdrels_weight_analyze/0.4_0.4_0.2/ul_12535.xlsx","ul_12535")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0.16666666666666671</v>
      </c>
    </row>
    <row r="353" spans="1:7" x14ac:dyDescent="0.15">
      <c r="A353" t="str">
        <f>HYPERLINK("./new_k5/query_cmdrels_weight_analyze/0.4_0.4_0.2/ul_127066.xlsx","ul_127066")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0.41666666666666657</v>
      </c>
    </row>
    <row r="354" spans="1:7" x14ac:dyDescent="0.15">
      <c r="A354" t="str">
        <f>HYPERLINK("./new_k5/query_cmdrels_weight_analyze/0.4_0.4_0.2/ul_128953.xlsx","ul_128953")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HYPERLINK("./new_k5/query_cmdrels_weight_analyze/0.4_0.4_0.2/ul_134829.xlsx","ul_134829")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0.66666666666666663</v>
      </c>
    </row>
    <row r="356" spans="1:7" x14ac:dyDescent="0.15">
      <c r="A356" t="str">
        <f>HYPERLINK("./new_k5/query_cmdrels_weight_analyze/0.4_0.4_0.2/ul_136371.xlsx","ul_136371")</f>
        <v>ul_136371</v>
      </c>
      <c r="B356">
        <v>0</v>
      </c>
      <c r="C356">
        <v>0</v>
      </c>
      <c r="D356">
        <v>0</v>
      </c>
      <c r="E356">
        <v>0.16666666666666671</v>
      </c>
      <c r="F356">
        <v>0</v>
      </c>
      <c r="G356">
        <v>0.3</v>
      </c>
    </row>
    <row r="357" spans="1:7" x14ac:dyDescent="0.15">
      <c r="A357" t="str">
        <f>HYPERLINK("./new_k5/query_cmdrels_weight_analyze/0.4_0.4_0.2/ul_136884.xlsx","ul_136884")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HYPERLINK("./new_k5/query_cmdrels_weight_analyze/0.4_0.4_0.2/ul_138398.xlsx","ul_138398")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HYPERLINK("./new_k5/query_cmdrels_weight_analyze/0.4_0.4_0.2/ul_139271.xlsx","ul_139271")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0.16666666666666671</v>
      </c>
      <c r="F359">
        <v>0.33333333333333331</v>
      </c>
      <c r="G359">
        <v>0.35</v>
      </c>
    </row>
    <row r="360" spans="1:7" x14ac:dyDescent="0.15">
      <c r="A360" t="str">
        <f>HYPERLINK("./new_k5/query_cmdrels_weight_analyze/0.4_0.4_0.2/ul_140482.xlsx","ul_140482")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HYPERLINK("./new_k5/query_cmdrels_weight_analyze/0.4_0.4_0.2/ul_14191.xlsx","ul_14191")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0.1111111111111111</v>
      </c>
    </row>
    <row r="362" spans="1:7" x14ac:dyDescent="0.15">
      <c r="A362" t="str">
        <f>HYPERLINK("./new_k5/query_cmdrels_weight_analyze/0.4_0.4_0.2/ul_145929.xlsx","ul_145929")</f>
        <v>ul_145929</v>
      </c>
      <c r="B362">
        <v>0</v>
      </c>
      <c r="C362">
        <v>0</v>
      </c>
      <c r="D362">
        <v>0.16666666666666671</v>
      </c>
      <c r="E362">
        <v>0.25</v>
      </c>
      <c r="F362">
        <v>0.16666666666666671</v>
      </c>
      <c r="G362">
        <v>0.5</v>
      </c>
    </row>
    <row r="363" spans="1:7" x14ac:dyDescent="0.15">
      <c r="A363" t="str">
        <f>HYPERLINK("./new_k5/query_cmdrels_weight_analyze/0.4_0.4_0.2/ul_148985.xlsx","ul_148985")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HYPERLINK("./new_k5/query_cmdrels_weight_analyze/0.4_0.4_0.2/ul_15405.xlsx","ul_15405")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HYPERLINK("./new_k5/query_cmdrels_weight_analyze/0.4_0.4_0.2/ul_155551.xlsx","ul_155551")</f>
        <v>ul_155551</v>
      </c>
      <c r="B365">
        <v>0</v>
      </c>
      <c r="C365">
        <v>0.5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HYPERLINK("./new_k5/query_cmdrels_weight_analyze/0.4_0.4_0.2/ul_159672.xlsx","ul_159672")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HYPERLINK("./new_k5/query_cmdrels_weight_analyze/0.4_0.4_0.2/ul_163845.xlsx","ul_163845")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HYPERLINK("./new_k5/query_cmdrels_weight_analyze/0.4_0.4_0.2/ul_16407.xlsx","ul_16407")</f>
        <v>ul_16407</v>
      </c>
      <c r="B368">
        <v>0.5</v>
      </c>
      <c r="C368">
        <v>0.5</v>
      </c>
      <c r="D368">
        <v>0.5</v>
      </c>
      <c r="E368">
        <v>0.5</v>
      </c>
      <c r="F368">
        <v>0.75</v>
      </c>
      <c r="G368">
        <v>0.5</v>
      </c>
    </row>
    <row r="369" spans="1:7" x14ac:dyDescent="0.15">
      <c r="A369" t="str">
        <f>HYPERLINK("./new_k5/query_cmdrels_weight_analyze/0.4_0.4_0.2/ul_166558.xlsx","ul_166558")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HYPERLINK("./new_k5/query_cmdrels_weight_analyze/0.4_0.4_0.2/ul_171314.xlsx","ul_171314")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0.25</v>
      </c>
    </row>
    <row r="371" spans="1:7" x14ac:dyDescent="0.15">
      <c r="A371" t="str">
        <f>HYPERLINK("./new_k5/query_cmdrels_weight_analyze/0.4_0.4_0.2/ul_182032.xlsx","ul_182032")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HYPERLINK("./new_k5/query_cmdrels_weight_analyze/0.4_0.4_0.2/ul_19344.xlsx","ul_19344")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HYPERLINK("./new_k5/query_cmdrels_weight_analyze/0.4_0.4_0.2/ul_19369.xlsx","ul_19369")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HYPERLINK("./new_k5/query_cmdrels_weight_analyze/0.4_0.4_0.2/ul_19485.xlsx","ul_19485")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HYPERLINK("./new_k5/query_cmdrels_weight_analyze/0.4_0.4_0.2/ul_20370.xlsx","ul_20370")</f>
        <v>ul_20370</v>
      </c>
      <c r="B375">
        <v>0</v>
      </c>
      <c r="C375">
        <v>0.5</v>
      </c>
      <c r="D375">
        <v>0</v>
      </c>
      <c r="E375">
        <v>0.5</v>
      </c>
      <c r="F375">
        <v>0</v>
      </c>
      <c r="G375">
        <v>0.5</v>
      </c>
    </row>
    <row r="376" spans="1:7" x14ac:dyDescent="0.15">
      <c r="A376" t="str">
        <f>HYPERLINK("./new_k5/query_cmdrels_weight_analyze/0.4_0.4_0.2/ul_211817.xlsx","ul_211817")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HYPERLINK("./new_k5/query_cmdrels_weight_analyze/0.4_0.4_0.2/ul_212925.xlsx","ul_212925")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HYPERLINK("./new_k5/query_cmdrels_weight_analyze/0.4_0.4_0.2/ul_21471.xlsx","ul_21471")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HYPERLINK("./new_k5/query_cmdrels_weight_analyze/0.4_0.4_0.2/ul_22545.xlsx","ul_22545")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HYPERLINK("./new_k5/query_cmdrels_weight_analyze/0.4_0.4_0.2/ul_230481.xlsx","ul_230481")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HYPERLINK("./new_k5/query_cmdrels_weight_analyze/0.4_0.4_0.2/ul_230673.xlsx","ul_230673")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0.45</v>
      </c>
    </row>
    <row r="382" spans="1:7" x14ac:dyDescent="0.15">
      <c r="A382" t="str">
        <f>HYPERLINK("./new_k5/query_cmdrels_weight_analyze/0.4_0.4_0.2/ul_230800.xlsx","ul_230800")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HYPERLINK("./new_k5/query_cmdrels_weight_analyze/0.4_0.4_0.2/ul_232384.xlsx","ul_232384")</f>
        <v>ul_232384</v>
      </c>
      <c r="B383">
        <v>0</v>
      </c>
      <c r="C383">
        <v>0.5</v>
      </c>
      <c r="D383">
        <v>0</v>
      </c>
      <c r="E383">
        <v>0.83333333333333326</v>
      </c>
      <c r="F383">
        <v>0</v>
      </c>
      <c r="G383">
        <v>0.83333333333333326</v>
      </c>
    </row>
    <row r="384" spans="1:7" x14ac:dyDescent="0.15">
      <c r="A384" t="str">
        <f>HYPERLINK("./new_k5/query_cmdrels_weight_analyze/0.4_0.4_0.2/ul_24441.xlsx","ul_24441")</f>
        <v>ul_24441</v>
      </c>
      <c r="B384">
        <v>0</v>
      </c>
      <c r="C384">
        <v>0.5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HYPERLINK("./new_k5/query_cmdrels_weight_analyze/0.4_0.4_0.2/ul_246535.xlsx","ul_246535")</f>
        <v>ul_246535</v>
      </c>
      <c r="B385">
        <v>0.2</v>
      </c>
      <c r="C385">
        <v>0</v>
      </c>
      <c r="D385">
        <v>0.2</v>
      </c>
      <c r="E385">
        <v>0.23333333333333331</v>
      </c>
      <c r="F385">
        <v>0.2</v>
      </c>
      <c r="G385">
        <v>0.23333333333333331</v>
      </c>
    </row>
    <row r="386" spans="1:7" x14ac:dyDescent="0.15">
      <c r="A386" t="str">
        <f>HYPERLINK("./new_k5/query_cmdrels_weight_analyze/0.4_0.4_0.2/ul_259791.xlsx","ul_259791")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HYPERLINK("./new_k5/query_cmdrels_weight_analyze/0.4_0.4_0.2/ul_273971.xlsx","ul_273971")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0.16666666666666671</v>
      </c>
      <c r="F387">
        <v>0.43333333333333329</v>
      </c>
      <c r="G387">
        <v>0.25</v>
      </c>
    </row>
    <row r="388" spans="1:7" x14ac:dyDescent="0.15">
      <c r="A388" t="str">
        <f>HYPERLINK("./new_k5/query_cmdrels_weight_analyze/0.4_0.4_0.2/ul_28553.xlsx","ul_28553")</f>
        <v>ul_28553</v>
      </c>
      <c r="B388">
        <v>0.25</v>
      </c>
      <c r="C388">
        <v>0</v>
      </c>
      <c r="D388">
        <v>0.5</v>
      </c>
      <c r="E388">
        <v>0.125</v>
      </c>
      <c r="F388">
        <v>0.5</v>
      </c>
      <c r="G388">
        <v>0.125</v>
      </c>
    </row>
    <row r="389" spans="1:7" x14ac:dyDescent="0.15">
      <c r="A389" t="str">
        <f>HYPERLINK("./new_k5/query_cmdrels_weight_analyze/0.4_0.4_0.2/ul_288521.xlsx","ul_288521")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HYPERLINK("./new_k5/query_cmdrels_weight_analyze/0.4_0.4_0.2/ul_32290.xlsx","ul_32290")</f>
        <v>ul_32290</v>
      </c>
      <c r="B390">
        <v>0</v>
      </c>
      <c r="C390">
        <v>0</v>
      </c>
      <c r="D390">
        <v>0</v>
      </c>
      <c r="E390">
        <v>8.3333333333333329E-2</v>
      </c>
      <c r="F390">
        <v>0</v>
      </c>
      <c r="G390">
        <v>8.3333333333333329E-2</v>
      </c>
    </row>
    <row r="391" spans="1:7" x14ac:dyDescent="0.15">
      <c r="A391" t="str">
        <f>HYPERLINK("./new_k5/query_cmdrels_weight_analyze/0.4_0.4_0.2/ul_328882.xlsx","ul_328882")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HYPERLINK("./new_k5/query_cmdrels_weight_analyze/0.4_0.4_0.2/ul_35131.xlsx","ul_35131")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0.66666666666666663</v>
      </c>
    </row>
    <row r="393" spans="1:7" x14ac:dyDescent="0.15">
      <c r="A393" t="str">
        <f>HYPERLINK("./new_k5/query_cmdrels_weight_analyze/0.4_0.4_0.2/ul_35333.xlsx","ul_35333")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HYPERLINK("./new_k5/query_cmdrels_weight_analyze/0.4_0.4_0.2/ul_35711.xlsx","ul_35711")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HYPERLINK("./new_k5/query_cmdrels_weight_analyze/0.4_0.4_0.2/ul_3575.xlsx","ul_3575")</f>
        <v>ul_3575</v>
      </c>
      <c r="B395">
        <v>0</v>
      </c>
      <c r="C395">
        <v>0</v>
      </c>
      <c r="D395">
        <v>8.3333333333333329E-2</v>
      </c>
      <c r="E395">
        <v>0</v>
      </c>
      <c r="F395">
        <v>8.3333333333333329E-2</v>
      </c>
      <c r="G395">
        <v>3.3333333333333333E-2</v>
      </c>
    </row>
    <row r="396" spans="1:7" x14ac:dyDescent="0.15">
      <c r="A396" t="str">
        <f>HYPERLINK("./new_k5/query_cmdrels_weight_analyze/0.4_0.4_0.2/ul_35832.xlsx","ul_35832")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HYPERLINK("./new_k5/query_cmdrels_weight_analyze/0.4_0.4_0.2/ul_370318.xlsx","ul_370318")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0.23809523809523811</v>
      </c>
      <c r="F397">
        <v>0.14285714285714279</v>
      </c>
      <c r="G397">
        <v>0.23809523809523811</v>
      </c>
    </row>
    <row r="398" spans="1:7" x14ac:dyDescent="0.15">
      <c r="A398" t="str">
        <f>HYPERLINK("./new_k5/query_cmdrels_weight_analyze/0.4_0.4_0.2/ul_37329.xlsx","ul_37329")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0.66666666666666663</v>
      </c>
      <c r="F398">
        <v>0.33333333333333331</v>
      </c>
      <c r="G398">
        <v>0.66666666666666663</v>
      </c>
    </row>
    <row r="399" spans="1:7" x14ac:dyDescent="0.15">
      <c r="A399" t="str">
        <f>HYPERLINK("./new_k5/query_cmdrels_weight_analyze/0.4_0.4_0.2/ul_38209.xlsx","ul_38209")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HYPERLINK("./new_k5/query_cmdrels_weight_analyze/0.4_0.4_0.2/ul_41246.xlsx","ul_41246")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HYPERLINK("./new_k5/query_cmdrels_weight_analyze/0.4_0.4_0.2/ul_41362.xlsx","ul_41362")</f>
        <v>ul_41362</v>
      </c>
      <c r="B401">
        <v>0</v>
      </c>
      <c r="C401">
        <v>0</v>
      </c>
      <c r="D401">
        <v>0</v>
      </c>
      <c r="E401">
        <v>8.3333333333333329E-2</v>
      </c>
      <c r="F401">
        <v>0</v>
      </c>
      <c r="G401">
        <v>8.3333333333333329E-2</v>
      </c>
    </row>
    <row r="402" spans="1:7" x14ac:dyDescent="0.15">
      <c r="A402" t="str">
        <f>HYPERLINK("./new_k5/query_cmdrels_weight_analyze/0.4_0.4_0.2/ul_48200.xlsx","ul_48200")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HYPERLINK("./new_k5/query_cmdrels_weight_analyze/0.4_0.4_0.2/ul_50098.xlsx","ul_50098")</f>
        <v>ul_50098</v>
      </c>
      <c r="B403">
        <v>0</v>
      </c>
      <c r="C403">
        <v>0</v>
      </c>
      <c r="D403">
        <v>0.1166666666666667</v>
      </c>
      <c r="E403">
        <v>0.05</v>
      </c>
      <c r="F403">
        <v>0.1166666666666667</v>
      </c>
      <c r="G403">
        <v>0.16</v>
      </c>
    </row>
    <row r="404" spans="1:7" x14ac:dyDescent="0.15">
      <c r="A404" t="str">
        <f>HYPERLINK("./new_k5/query_cmdrels_weight_analyze/0.4_0.4_0.2/ul_50785.xlsx","ul_50785")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HYPERLINK("./new_k5/query_cmdrels_weight_analyze/0.4_0.4_0.2/ul_5085.xlsx","ul_5085")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HYPERLINK("./new_k5/query_cmdrels_weight_analyze/0.4_0.4_0.2/ul_53737.xlsx","ul_53737")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HYPERLINK("./new_k5/query_cmdrels_weight_analyze/0.4_0.4_0.2/ul_55125.xlsx","ul_55125")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HYPERLINK("./new_k5/query_cmdrels_weight_analyze/0.4_0.4_0.2/ul_56453.xlsx","ul_56453")</f>
        <v>ul_56453</v>
      </c>
      <c r="B408">
        <v>0</v>
      </c>
      <c r="C408">
        <v>0.25</v>
      </c>
      <c r="D408">
        <v>8.3333333333333329E-2</v>
      </c>
      <c r="E408">
        <v>0.25</v>
      </c>
      <c r="F408">
        <v>8.3333333333333329E-2</v>
      </c>
      <c r="G408">
        <v>0.52500000000000002</v>
      </c>
    </row>
    <row r="409" spans="1:7" x14ac:dyDescent="0.15">
      <c r="A409" t="str">
        <f>HYPERLINK("./new_k5/query_cmdrels_weight_analyze/0.4_0.4_0.2/ul_63648.xlsx","ul_63648")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HYPERLINK("./new_k5/query_cmdrels_weight_analyze/0.4_0.4_0.2/ul_6402.xlsx","ul_6402")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0.33333333333333331</v>
      </c>
    </row>
    <row r="411" spans="1:7" x14ac:dyDescent="0.15">
      <c r="A411" t="str">
        <f>HYPERLINK("./new_k5/query_cmdrels_weight_analyze/0.4_0.4_0.2/ul_65106.xlsx","ul_65106")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0.66666666666666663</v>
      </c>
    </row>
    <row r="412" spans="1:7" x14ac:dyDescent="0.15">
      <c r="A412" t="str">
        <f>HYPERLINK("./new_k5/query_cmdrels_weight_analyze/0.4_0.4_0.2/ul_65932.xlsx","ul_65932")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HYPERLINK("./new_k5/query_cmdrels_weight_analyze/0.4_0.4_0.2/ul_6596.xlsx","ul_6596")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HYPERLINK("./new_k5/query_cmdrels_weight_analyze/0.4_0.4_0.2/ul_67503.xlsx","ul_67503")</f>
        <v>ul_67503</v>
      </c>
      <c r="B414">
        <v>0</v>
      </c>
      <c r="C414">
        <v>0.5</v>
      </c>
      <c r="D414">
        <v>0.25</v>
      </c>
      <c r="E414">
        <v>0.5</v>
      </c>
      <c r="F414">
        <v>0.5</v>
      </c>
      <c r="G414">
        <v>0.5</v>
      </c>
    </row>
    <row r="415" spans="1:7" x14ac:dyDescent="0.15">
      <c r="A415" t="str">
        <f>HYPERLINK("./new_k5/query_cmdrels_weight_analyze/0.4_0.4_0.2/ul_67592.xlsx","ul_67592")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HYPERLINK("./new_k5/query_cmdrels_weight_analyze/0.4_0.4_0.2/ul_70581.xlsx","ul_70581")</f>
        <v>ul_70581</v>
      </c>
      <c r="B416">
        <v>0</v>
      </c>
      <c r="C416">
        <v>0.2</v>
      </c>
      <c r="D416">
        <v>0.1</v>
      </c>
      <c r="E416">
        <v>0.6</v>
      </c>
      <c r="F416">
        <v>0.1</v>
      </c>
      <c r="G416">
        <v>0.6</v>
      </c>
    </row>
    <row r="417" spans="1:7" x14ac:dyDescent="0.15">
      <c r="A417" t="str">
        <f>HYPERLINK("./new_k5/query_cmdrels_weight_analyze/0.4_0.4_0.2/ul_70614.xlsx","ul_70614")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HYPERLINK("./new_k5/query_cmdrels_weight_analyze/0.4_0.4_0.2/ul_71465.xlsx","ul_71465")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HYPERLINK("./new_k5/query_cmdrels_weight_analyze/0.4_0.4_0.2/ul_7226.xlsx","ul_7226")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0.33333333333333331</v>
      </c>
      <c r="F419">
        <v>0.33333333333333331</v>
      </c>
      <c r="G419">
        <v>0.5</v>
      </c>
    </row>
    <row r="420" spans="1:7" x14ac:dyDescent="0.15">
      <c r="A420" t="str">
        <f>HYPERLINK("./new_k5/query_cmdrels_weight_analyze/0.4_0.4_0.2/ul_78182.xlsx","ul_78182")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</v>
      </c>
    </row>
    <row r="421" spans="1:7" x14ac:dyDescent="0.15">
      <c r="A421" t="str">
        <f>HYPERLINK("./new_k5/query_cmdrels_weight_analyze/0.4_0.4_0.2/ul_79678.xlsx","ul_79678")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HYPERLINK("./new_k5/query_cmdrels_weight_analyze/0.4_0.4_0.2/ul_79702.xlsx","ul_79702")</f>
        <v>ul_79702</v>
      </c>
      <c r="B422">
        <v>0</v>
      </c>
      <c r="C422">
        <v>0.33333333333333331</v>
      </c>
      <c r="D422">
        <v>0</v>
      </c>
      <c r="E422">
        <v>0.55555555555555547</v>
      </c>
      <c r="F422">
        <v>0</v>
      </c>
      <c r="G422">
        <v>0.75555555555555554</v>
      </c>
    </row>
    <row r="423" spans="1:7" x14ac:dyDescent="0.15">
      <c r="A423" t="str">
        <f>HYPERLINK("./new_k5/query_cmdrels_weight_analyze/0.4_0.4_0.2/ul_83593.xlsx","ul_83593")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HYPERLINK("./new_k5/query_cmdrels_weight_analyze/0.4_0.4_0.2/ul_84381.xlsx","ul_84381")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HYPERLINK("./new_k5/query_cmdrels_weight_analyze/0.4_0.4_0.2/ul_85180.xlsx","ul_85180")</f>
        <v>ul_85180</v>
      </c>
      <c r="B425">
        <v>0</v>
      </c>
      <c r="C425">
        <v>0</v>
      </c>
      <c r="D425">
        <v>0.16666666666666671</v>
      </c>
      <c r="E425">
        <v>0.16666666666666671</v>
      </c>
      <c r="F425">
        <v>0.16666666666666671</v>
      </c>
      <c r="G425">
        <v>0.33333333333333331</v>
      </c>
    </row>
    <row r="426" spans="1:7" x14ac:dyDescent="0.15">
      <c r="A426" t="str">
        <f>HYPERLINK("./new_k5/query_cmdrels_weight_analyze/0.4_0.4_0.2/ul_86071.xlsx","ul_86071")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HYPERLINK("./new_k5/query_cmdrels_weight_analyze/0.4_0.4_0.2/ul_86729.xlsx","ul_86729")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HYPERLINK("./new_k5/query_cmdrels_weight_analyze/0.4_0.4_0.2/ul_88824.xlsx","ul_88824")</f>
        <v>ul_88824</v>
      </c>
      <c r="B428">
        <v>0</v>
      </c>
      <c r="C428">
        <v>0.33333333333333331</v>
      </c>
      <c r="D428">
        <v>0</v>
      </c>
      <c r="E428">
        <v>0.33333333333333331</v>
      </c>
      <c r="F428">
        <v>0</v>
      </c>
      <c r="G428">
        <v>0.33333333333333331</v>
      </c>
    </row>
    <row r="429" spans="1:7" x14ac:dyDescent="0.15">
      <c r="A429" t="str">
        <f>HYPERLINK("./new_k5/query_cmdrels_weight_analyze/0.4_0.4_0.2/ul_8945.xlsx","ul_8945")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HYPERLINK("./new_k5/query_cmdrels_weight_analyze/0.4_0.4_0.2/ul_89933.xlsx","ul_89933")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HYPERLINK("./new_k5/query_cmdrels_weight_analyze/0.4_0.4_0.2/ul_91297.xlsx","ul_91297")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HYPERLINK("./new_k5/query_cmdrels_weight_analyze/0.4_0.4_0.2/ul_9252.xlsx","ul_9252")</f>
        <v>ul_9252</v>
      </c>
      <c r="B432">
        <v>0</v>
      </c>
      <c r="C432">
        <v>0</v>
      </c>
      <c r="D432">
        <v>0.23333333333333331</v>
      </c>
      <c r="E432">
        <v>6.6666666666666666E-2</v>
      </c>
      <c r="F432">
        <v>0.23333333333333331</v>
      </c>
      <c r="G432">
        <v>0.1466666666666667</v>
      </c>
    </row>
    <row r="433" spans="1:7" x14ac:dyDescent="0.15">
      <c r="A433" t="str">
        <f>HYPERLINK("./new_k5/query_cmdrels_weight_analyze/0.4_0.4_0.2/ul_92560.xlsx","ul_92560")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0.5</v>
      </c>
    </row>
    <row r="434" spans="1:7" x14ac:dyDescent="0.15">
      <c r="A434" t="str">
        <f>HYPERLINK("./new_k5/query_cmdrels_weight_analyze/0.4_0.4_0.2/ul_92799.xlsx","ul_92799")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0.5</v>
      </c>
      <c r="F434">
        <v>0.53611111111111109</v>
      </c>
      <c r="G434">
        <v>0.66666666666666663</v>
      </c>
    </row>
    <row r="435" spans="1:7" x14ac:dyDescent="0.15">
      <c r="A435" t="str">
        <f>HYPERLINK("./new_k5/query_cmdrels_weight_analyze/0.4_0.4_0.2/ul_93139.xlsx","ul_93139")</f>
        <v>ul_93139</v>
      </c>
      <c r="B435">
        <v>0</v>
      </c>
      <c r="C435">
        <v>0.5</v>
      </c>
      <c r="D435">
        <v>0.25</v>
      </c>
      <c r="E435">
        <v>0.5</v>
      </c>
      <c r="F435">
        <v>0.25</v>
      </c>
      <c r="G435">
        <v>0.5</v>
      </c>
    </row>
    <row r="436" spans="1:7" x14ac:dyDescent="0.15">
      <c r="A436" t="str">
        <f>HYPERLINK("./new_k5/query_cmdrels_weight_analyze/0.4_0.4_0.2/ul_98461.xlsx","ul_98461")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HYPERLINK("./new_k5/query_cmdrels_weight_analyze/0.4_0.5_0.1/au_102733.xlsx","au_102733")</f>
        <v>au_102733</v>
      </c>
      <c r="B3">
        <v>0.25</v>
      </c>
      <c r="C3">
        <v>0</v>
      </c>
      <c r="D3">
        <v>0.5</v>
      </c>
      <c r="E3">
        <v>0.125</v>
      </c>
      <c r="F3">
        <v>0.5</v>
      </c>
      <c r="G3">
        <v>0.125</v>
      </c>
    </row>
    <row r="4" spans="1:7" x14ac:dyDescent="0.15">
      <c r="A4" t="str">
        <f>HYPERLINK("./new_k5/query_cmdrels_weight_analyze/0.4_0.5_0.1/au_1029436.xlsx","au_1029436")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HYPERLINK("./new_k5/query_cmdrels_weight_analyze/0.4_0.5_0.1/au_1029502.xlsx","au_1029502")</f>
        <v>au_1029502</v>
      </c>
      <c r="B5">
        <v>0.25</v>
      </c>
      <c r="C5">
        <v>0.25</v>
      </c>
      <c r="D5">
        <v>0.25</v>
      </c>
      <c r="E5">
        <v>0.25</v>
      </c>
      <c r="F5">
        <v>0.375</v>
      </c>
      <c r="G5">
        <v>0.25</v>
      </c>
    </row>
    <row r="6" spans="1:7" x14ac:dyDescent="0.15">
      <c r="A6" t="str">
        <f>HYPERLINK("./new_k5/query_cmdrels_weight_analyze/0.4_0.5_0.1/au_1029531.xlsx","au_1029531")</f>
        <v>au_1029531</v>
      </c>
      <c r="B6">
        <v>0.33333333333333331</v>
      </c>
      <c r="C6">
        <v>0</v>
      </c>
      <c r="D6">
        <v>0.33333333333333331</v>
      </c>
      <c r="E6">
        <v>0.16666666666666671</v>
      </c>
      <c r="F6">
        <v>0.46666666666666662</v>
      </c>
      <c r="G6">
        <v>0.16666666666666671</v>
      </c>
    </row>
    <row r="7" spans="1:7" x14ac:dyDescent="0.15">
      <c r="A7" t="str">
        <f>HYPERLINK("./new_k5/query_cmdrels_weight_analyze/0.4_0.5_0.1/au_104542.xlsx","au_104542")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HYPERLINK("./new_k5/query_cmdrels_weight_analyze/0.4_0.5_0.1/au_109070.xlsx","au_109070")</f>
        <v>au_109070</v>
      </c>
      <c r="B8">
        <v>0</v>
      </c>
      <c r="C8">
        <v>0</v>
      </c>
      <c r="D8">
        <v>0.23333333333333331</v>
      </c>
      <c r="E8">
        <v>0</v>
      </c>
      <c r="F8">
        <v>0.3833333333333333</v>
      </c>
      <c r="G8">
        <v>0.05</v>
      </c>
    </row>
    <row r="9" spans="1:7" x14ac:dyDescent="0.15">
      <c r="A9" t="str">
        <f>HYPERLINK("./new_k5/query_cmdrels_weight_analyze/0.4_0.5_0.1/au_109381.xlsx","au_109381")</f>
        <v>au_109381</v>
      </c>
      <c r="B9">
        <v>0</v>
      </c>
      <c r="C9">
        <v>0.5</v>
      </c>
      <c r="D9">
        <v>0.25</v>
      </c>
      <c r="E9">
        <v>0.5</v>
      </c>
      <c r="F9">
        <v>0.25</v>
      </c>
      <c r="G9">
        <v>0.7</v>
      </c>
    </row>
    <row r="10" spans="1:7" x14ac:dyDescent="0.15">
      <c r="A10" t="str">
        <f>HYPERLINK("./new_k5/query_cmdrels_weight_analyze/0.4_0.5_0.1/au_110477.xlsx","au_110477")</f>
        <v>au_110477</v>
      </c>
      <c r="B10">
        <v>0.25</v>
      </c>
      <c r="C10">
        <v>0.25</v>
      </c>
      <c r="D10">
        <v>0.5</v>
      </c>
      <c r="E10">
        <v>0.75</v>
      </c>
      <c r="F10">
        <v>0.5</v>
      </c>
      <c r="G10">
        <v>0.75</v>
      </c>
    </row>
    <row r="11" spans="1:7" x14ac:dyDescent="0.15">
      <c r="A11" t="str">
        <f>HYPERLINK("./new_k5/query_cmdrels_weight_analyze/0.4_0.5_0.1/au_111678.xlsx","au_111678")</f>
        <v>au_111678</v>
      </c>
      <c r="B11">
        <v>0</v>
      </c>
      <c r="C11">
        <v>0.33333333333333331</v>
      </c>
      <c r="D11">
        <v>0.1111111111111111</v>
      </c>
      <c r="E11">
        <v>0.33333333333333331</v>
      </c>
      <c r="F11">
        <v>0.1111111111111111</v>
      </c>
      <c r="G11">
        <v>0.33333333333333331</v>
      </c>
    </row>
    <row r="12" spans="1:7" x14ac:dyDescent="0.15">
      <c r="A12" t="str">
        <f>HYPERLINK("./new_k5/query_cmdrels_weight_analyze/0.4_0.5_0.1/au_112512.xlsx","au_112512")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HYPERLINK("./new_k5/query_cmdrels_weight_analyze/0.4_0.5_0.1/au_115369.xlsx","au_115369")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HYPERLINK("./new_k5/query_cmdrels_weight_analyze/0.4_0.5_0.1/au_11789.xlsx","au_11789")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HYPERLINK("./new_k5/query_cmdrels_weight_analyze/0.4_0.5_0.1/au_117950.xlsx","au_117950")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0.32500000000000001</v>
      </c>
    </row>
    <row r="16" spans="1:7" x14ac:dyDescent="0.15">
      <c r="A16" t="str">
        <f>HYPERLINK("./new_k5/query_cmdrels_weight_analyze/0.4_0.5_0.1/au_122113.xlsx","au_122113")</f>
        <v>au_122113</v>
      </c>
      <c r="B16">
        <v>0.25</v>
      </c>
      <c r="C16">
        <v>0</v>
      </c>
      <c r="D16">
        <v>0.25</v>
      </c>
      <c r="E16">
        <v>0.125</v>
      </c>
      <c r="F16">
        <v>0.25</v>
      </c>
      <c r="G16">
        <v>0.25</v>
      </c>
    </row>
    <row r="17" spans="1:7" x14ac:dyDescent="0.15">
      <c r="A17" t="str">
        <f>HYPERLINK("./new_k5/query_cmdrels_weight_analyze/0.4_0.5_0.1/au_123798.xlsx","au_123798")</f>
        <v>au_123798</v>
      </c>
      <c r="B17">
        <v>0</v>
      </c>
      <c r="C17">
        <v>0</v>
      </c>
      <c r="D17">
        <v>5.5555555555555552E-2</v>
      </c>
      <c r="E17">
        <v>5.5555555555555552E-2</v>
      </c>
      <c r="F17">
        <v>0.23888888888888879</v>
      </c>
      <c r="G17">
        <v>0.23888888888888879</v>
      </c>
    </row>
    <row r="18" spans="1:7" x14ac:dyDescent="0.15">
      <c r="A18" t="str">
        <f>HYPERLINK("./new_k5/query_cmdrels_weight_analyze/0.4_0.5_0.1/au_125257.xlsx","au_125257")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HYPERLINK("./new_k5/query_cmdrels_weight_analyze/0.4_0.5_0.1/au_126153.xlsx","au_126153")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0.33333333333333331</v>
      </c>
      <c r="F19">
        <v>0.45833333333333331</v>
      </c>
      <c r="G19">
        <v>0.43333333333333329</v>
      </c>
    </row>
    <row r="20" spans="1:7" x14ac:dyDescent="0.15">
      <c r="A20" t="str">
        <f>HYPERLINK("./new_k5/query_cmdrels_weight_analyze/0.4_0.5_0.1/au_127326.xlsx","au_127326")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HYPERLINK("./new_k5/query_cmdrels_weight_analyze/0.4_0.5_0.1/au_128463.xlsx","au_128463")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HYPERLINK("./new_k5/query_cmdrels_weight_analyze/0.4_0.5_0.1/au_130393.xlsx","au_130393")</f>
        <v>au_130393</v>
      </c>
      <c r="B22">
        <v>0</v>
      </c>
      <c r="C22">
        <v>0</v>
      </c>
      <c r="D22">
        <v>0.125</v>
      </c>
      <c r="E22">
        <v>0.125</v>
      </c>
      <c r="F22">
        <v>0.125</v>
      </c>
      <c r="G22">
        <v>0.25</v>
      </c>
    </row>
    <row r="23" spans="1:7" x14ac:dyDescent="0.15">
      <c r="A23" t="str">
        <f>HYPERLINK("./new_k5/query_cmdrels_weight_analyze/0.4_0.5_0.1/au_131570.xlsx","au_131570")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HYPERLINK("./new_k5/query_cmdrels_weight_analyze/0.4_0.5_0.1/au_133318.xlsx","au_133318")</f>
        <v>au_133318</v>
      </c>
      <c r="B24">
        <v>0</v>
      </c>
      <c r="C24">
        <v>0.25</v>
      </c>
      <c r="D24">
        <v>0</v>
      </c>
      <c r="E24">
        <v>0.41666666666666657</v>
      </c>
      <c r="F24">
        <v>0</v>
      </c>
      <c r="G24">
        <v>0.41666666666666657</v>
      </c>
    </row>
    <row r="25" spans="1:7" x14ac:dyDescent="0.15">
      <c r="A25" t="str">
        <f>HYPERLINK("./new_k5/query_cmdrels_weight_analyze/0.4_0.5_0.1/au_133343.xlsx","au_133343")</f>
        <v>au_133343</v>
      </c>
      <c r="B25">
        <v>0</v>
      </c>
      <c r="C25">
        <v>0</v>
      </c>
      <c r="D25">
        <v>0</v>
      </c>
      <c r="E25">
        <v>0.38888888888888878</v>
      </c>
      <c r="F25">
        <v>0</v>
      </c>
      <c r="G25">
        <v>0.38888888888888878</v>
      </c>
    </row>
    <row r="26" spans="1:7" x14ac:dyDescent="0.15">
      <c r="A26" t="str">
        <f>HYPERLINK("./new_k5/query_cmdrels_weight_analyze/0.4_0.5_0.1/au_133389.xlsx","au_133389")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HYPERLINK("./new_k5/query_cmdrels_weight_analyze/0.4_0.5_0.1/au_141277.xlsx","au_141277")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HYPERLINK("./new_k5/query_cmdrels_weight_analyze/0.4_0.5_0.1/au_143819.xlsx","au_143819")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HYPERLINK("./new_k5/query_cmdrels_weight_analyze/0.4_0.5_0.1/au_145935.xlsx","au_145935")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HYPERLINK("./new_k5/query_cmdrels_weight_analyze/0.4_0.5_0.1/au_147241.xlsx","au_147241")</f>
        <v>au_147241</v>
      </c>
      <c r="B30">
        <v>0</v>
      </c>
      <c r="C30">
        <v>0</v>
      </c>
      <c r="D30">
        <v>0.29166666666666657</v>
      </c>
      <c r="E30">
        <v>0.29166666666666657</v>
      </c>
      <c r="F30">
        <v>0.29166666666666657</v>
      </c>
      <c r="G30">
        <v>0.47916666666666657</v>
      </c>
    </row>
    <row r="31" spans="1:7" x14ac:dyDescent="0.15">
      <c r="A31" t="str">
        <f>HYPERLINK("./new_k5/query_cmdrels_weight_analyze/0.4_0.5_0.1/au_147800.xlsx","au_147800")</f>
        <v>au_147800</v>
      </c>
      <c r="B31">
        <v>0</v>
      </c>
      <c r="C31">
        <v>0</v>
      </c>
      <c r="D31">
        <v>0.1111111111111111</v>
      </c>
      <c r="E31">
        <v>0.16666666666666671</v>
      </c>
      <c r="F31">
        <v>0.1111111111111111</v>
      </c>
      <c r="G31">
        <v>0.16666666666666671</v>
      </c>
    </row>
    <row r="32" spans="1:7" x14ac:dyDescent="0.15">
      <c r="A32" t="str">
        <f>HYPERLINK("./new_k5/query_cmdrels_weight_analyze/0.4_0.5_0.1/au_148321.xlsx","au_148321")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0.40277777777777768</v>
      </c>
    </row>
    <row r="33" spans="1:7" x14ac:dyDescent="0.15">
      <c r="A33" t="str">
        <f>HYPERLINK("./new_k5/query_cmdrels_weight_analyze/0.4_0.5_0.1/au_148638.xlsx","au_148638")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HYPERLINK("./new_k5/query_cmdrels_weight_analyze/0.4_0.5_0.1/au_151049.xlsx","au_151049")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HYPERLINK("./new_k5/query_cmdrels_weight_analyze/0.4_0.5_0.1/au_151941.xlsx","au_151941")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HYPERLINK("./new_k5/query_cmdrels_weight_analyze/0.4_0.5_0.1/au_152297.xlsx","au_152297")</f>
        <v>au_152297</v>
      </c>
      <c r="B36">
        <v>0</v>
      </c>
      <c r="C36">
        <v>0</v>
      </c>
      <c r="D36">
        <v>7.1428571428571425E-2</v>
      </c>
      <c r="E36">
        <v>7.1428571428571425E-2</v>
      </c>
      <c r="F36">
        <v>7.1428571428571425E-2</v>
      </c>
      <c r="G36">
        <v>0.22857142857142859</v>
      </c>
    </row>
    <row r="37" spans="1:7" x14ac:dyDescent="0.15">
      <c r="A37" t="str">
        <f>HYPERLINK("./new_k5/query_cmdrels_weight_analyze/0.4_0.5_0.1/au_153976.xlsx","au_153976")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0.16666666666666671</v>
      </c>
      <c r="F37">
        <v>0.33333333333333331</v>
      </c>
      <c r="G37">
        <v>0.35</v>
      </c>
    </row>
    <row r="38" spans="1:7" x14ac:dyDescent="0.15">
      <c r="A38" t="str">
        <f>HYPERLINK("./new_k5/query_cmdrels_weight_analyze/0.4_0.5_0.1/au_154431.xlsx","au_154431")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HYPERLINK("./new_k5/query_cmdrels_weight_analyze/0.4_0.5_0.1/au_159708.xlsx","au_159708")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0.33333333333333331</v>
      </c>
      <c r="F39">
        <v>0.33333333333333331</v>
      </c>
      <c r="G39">
        <v>0.33333333333333331</v>
      </c>
    </row>
    <row r="40" spans="1:7" x14ac:dyDescent="0.15">
      <c r="A40" t="str">
        <f>HYPERLINK("./new_k5/query_cmdrels_weight_analyze/0.4_0.5_0.1/au_160869.xlsx","au_160869")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HYPERLINK("./new_k5/query_cmdrels_weight_analyze/0.4_0.5_0.1/au_161313.xlsx","au_161313")</f>
        <v>au_161313</v>
      </c>
      <c r="B41">
        <v>0.5</v>
      </c>
      <c r="C41">
        <v>0</v>
      </c>
      <c r="D41">
        <v>0.5</v>
      </c>
      <c r="E41">
        <v>0.16666666666666671</v>
      </c>
      <c r="F41">
        <v>0.5</v>
      </c>
      <c r="G41">
        <v>0.16666666666666671</v>
      </c>
    </row>
    <row r="42" spans="1:7" x14ac:dyDescent="0.15">
      <c r="A42" t="str">
        <f>HYPERLINK("./new_k5/query_cmdrels_weight_analyze/0.4_0.5_0.1/au_162075.xlsx","au_162075")</f>
        <v>au_162075</v>
      </c>
      <c r="B42">
        <v>0.25</v>
      </c>
      <c r="C42">
        <v>0.25</v>
      </c>
      <c r="D42">
        <v>0.5</v>
      </c>
      <c r="E42">
        <v>0.5</v>
      </c>
      <c r="F42">
        <v>0.5</v>
      </c>
      <c r="G42">
        <v>0.5</v>
      </c>
    </row>
    <row r="43" spans="1:7" x14ac:dyDescent="0.15">
      <c r="A43" t="str">
        <f>HYPERLINK("./new_k5/query_cmdrels_weight_analyze/0.4_0.5_0.1/au_16277.xlsx","au_16277")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0.83333333333333337</v>
      </c>
    </row>
    <row r="44" spans="1:7" x14ac:dyDescent="0.15">
      <c r="A44" t="str">
        <f>HYPERLINK("./new_k5/query_cmdrels_weight_analyze/0.4_0.5_0.1/au_163155.xlsx","au_163155")</f>
        <v>au_163155</v>
      </c>
      <c r="B44">
        <v>0.125</v>
      </c>
      <c r="C44">
        <v>0.125</v>
      </c>
      <c r="D44">
        <v>0.375</v>
      </c>
      <c r="E44">
        <v>0.20833333333333329</v>
      </c>
      <c r="F44">
        <v>0.5</v>
      </c>
      <c r="G44">
        <v>0.40208333333333329</v>
      </c>
    </row>
    <row r="45" spans="1:7" x14ac:dyDescent="0.15">
      <c r="A45" t="str">
        <f>HYPERLINK("./new_k5/query_cmdrels_weight_analyze/0.4_0.5_0.1/au_164473.xlsx","au_164473")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HYPERLINK("./new_k5/query_cmdrels_weight_analyze/0.4_0.5_0.1/au_16584.xlsx","au_16584")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0.15151515151515149</v>
      </c>
      <c r="F46">
        <v>0.13636363636363641</v>
      </c>
      <c r="G46">
        <v>0.2196969696969697</v>
      </c>
    </row>
    <row r="47" spans="1:7" x14ac:dyDescent="0.15">
      <c r="A47" t="str">
        <f>HYPERLINK("./new_k5/query_cmdrels_weight_analyze/0.4_0.5_0.1/au_166420.xlsx","au_166420")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HYPERLINK("./new_k5/query_cmdrels_weight_analyze/0.4_0.5_0.1/au_169473.xlsx","au_169473")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0.16666666666666671</v>
      </c>
      <c r="F48">
        <v>0.43333333333333329</v>
      </c>
      <c r="G48">
        <v>0.35</v>
      </c>
    </row>
    <row r="49" spans="1:7" x14ac:dyDescent="0.15">
      <c r="A49" t="str">
        <f>HYPERLINK("./new_k5/query_cmdrels_weight_analyze/0.4_0.5_0.1/au_169516.xlsx","au_169516")</f>
        <v>au_169516</v>
      </c>
      <c r="B49">
        <v>0.25</v>
      </c>
      <c r="C49">
        <v>0.25</v>
      </c>
      <c r="D49">
        <v>0.25</v>
      </c>
      <c r="E49">
        <v>0.5</v>
      </c>
      <c r="F49">
        <v>0.25</v>
      </c>
      <c r="G49">
        <v>0.5</v>
      </c>
    </row>
    <row r="50" spans="1:7" x14ac:dyDescent="0.15">
      <c r="A50" t="str">
        <f>HYPERLINK("./new_k5/query_cmdrels_weight_analyze/0.4_0.5_0.1/au_174292.xlsx","au_174292")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HYPERLINK("./new_k5/query_cmdrels_weight_analyze/0.4_0.5_0.1/au_178481.xlsx","au_178481")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HYPERLINK("./new_k5/query_cmdrels_weight_analyze/0.4_0.5_0.1/au_180925.xlsx","au_180925")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HYPERLINK("./new_k5/query_cmdrels_weight_analyze/0.4_0.5_0.1/au_187888.xlsx","au_187888")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HYPERLINK("./new_k5/query_cmdrels_weight_analyze/0.4_0.5_0.1/au_191390.xlsx","au_191390")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HYPERLINK("./new_k5/query_cmdrels_weight_analyze/0.4_0.5_0.1/au_192798.xlsx","au_192798")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HYPERLINK("./new_k5/query_cmdrels_weight_analyze/0.4_0.5_0.1/au_201775.xlsx","au_201775")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0.33333333333333331</v>
      </c>
      <c r="F56">
        <v>0.66666666666666663</v>
      </c>
      <c r="G56">
        <v>0.70000000000000007</v>
      </c>
    </row>
    <row r="57" spans="1:7" x14ac:dyDescent="0.15">
      <c r="A57" t="str">
        <f>HYPERLINK("./new_k5/query_cmdrels_weight_analyze/0.4_0.5_0.1/au_204166.xlsx","au_204166")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HYPERLINK("./new_k5/query_cmdrels_weight_analyze/0.4_0.5_0.1/au_207447.xlsx","au_207447")</f>
        <v>au_207447</v>
      </c>
      <c r="B58">
        <v>0.33333333333333331</v>
      </c>
      <c r="C58">
        <v>0</v>
      </c>
      <c r="D58">
        <v>0.33333333333333331</v>
      </c>
      <c r="E58">
        <v>0</v>
      </c>
      <c r="F58">
        <v>0.33333333333333331</v>
      </c>
      <c r="G58">
        <v>0</v>
      </c>
    </row>
    <row r="59" spans="1:7" x14ac:dyDescent="0.15">
      <c r="A59" t="str">
        <f>HYPERLINK("./new_k5/query_cmdrels_weight_analyze/0.4_0.5_0.1/au_210680.xlsx","au_210680")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HYPERLINK("./new_k5/query_cmdrels_weight_analyze/0.4_0.5_0.1/au_214246.xlsx","au_214246")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HYPERLINK("./new_k5/query_cmdrels_weight_analyze/0.4_0.5_0.1/au_214643.xlsx","au_214643")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HYPERLINK("./new_k5/query_cmdrels_weight_analyze/0.4_0.5_0.1/au_2194.xlsx","au_2194")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HYPERLINK("./new_k5/query_cmdrels_weight_analyze/0.4_0.5_0.1/au_221962.xlsx","au_221962")</f>
        <v>au_221962</v>
      </c>
      <c r="B63">
        <v>0</v>
      </c>
      <c r="C63">
        <v>0</v>
      </c>
      <c r="D63">
        <v>5.5555555555555552E-2</v>
      </c>
      <c r="E63">
        <v>5.5555555555555552E-2</v>
      </c>
      <c r="F63">
        <v>0.1388888888888889</v>
      </c>
      <c r="G63">
        <v>0.23888888888888879</v>
      </c>
    </row>
    <row r="64" spans="1:7" x14ac:dyDescent="0.15">
      <c r="A64" t="str">
        <f>HYPERLINK("./new_k5/query_cmdrels_weight_analyze/0.4_0.5_0.1/au_22608.xlsx","au_22608")</f>
        <v>au_22608</v>
      </c>
      <c r="B64">
        <v>0.33333333333333331</v>
      </c>
      <c r="C64">
        <v>0</v>
      </c>
      <c r="D64">
        <v>0.33333333333333331</v>
      </c>
      <c r="E64">
        <v>0.16666666666666671</v>
      </c>
      <c r="F64">
        <v>0.33333333333333331</v>
      </c>
      <c r="G64">
        <v>0.33333333333333331</v>
      </c>
    </row>
    <row r="65" spans="1:7" x14ac:dyDescent="0.15">
      <c r="A65" t="str">
        <f>HYPERLINK("./new_k5/query_cmdrels_weight_analyze/0.4_0.5_0.1/au_230698.xlsx","au_230698")</f>
        <v>au_230698</v>
      </c>
      <c r="B65">
        <v>0.125</v>
      </c>
      <c r="C65">
        <v>0.125</v>
      </c>
      <c r="D65">
        <v>0.25</v>
      </c>
      <c r="E65">
        <v>0.20833333333333329</v>
      </c>
      <c r="F65">
        <v>0.32500000000000001</v>
      </c>
      <c r="G65">
        <v>0.28333333333333333</v>
      </c>
    </row>
    <row r="66" spans="1:7" x14ac:dyDescent="0.15">
      <c r="A66" t="str">
        <f>HYPERLINK("./new_k5/query_cmdrels_weight_analyze/0.4_0.5_0.1/au_232442.xlsx","au_232442")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HYPERLINK("./new_k5/query_cmdrels_weight_analyze/0.4_0.5_0.1/au_233378.xlsx","au_233378")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HYPERLINK("./new_k5/query_cmdrels_weight_analyze/0.4_0.5_0.1/au_24027.xlsx","au_24027")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HYPERLINK("./new_k5/query_cmdrels_weight_analyze/0.4_0.5_0.1/au_246647.xlsx","au_246647")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HYPERLINK("./new_k5/query_cmdrels_weight_analyze/0.4_0.5_0.1/au_254424.xlsx","au_254424")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HYPERLINK("./new_k5/query_cmdrels_weight_analyze/0.4_0.5_0.1/au_255890.xlsx","au_255890")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HYPERLINK("./new_k5/query_cmdrels_weight_analyze/0.4_0.5_0.1/au_257248.xlsx","au_257248")</f>
        <v>au_257248</v>
      </c>
      <c r="B72">
        <v>0</v>
      </c>
      <c r="C72">
        <v>0</v>
      </c>
      <c r="D72">
        <v>0.16666666666666671</v>
      </c>
      <c r="E72">
        <v>4.7619047619047623E-2</v>
      </c>
      <c r="F72">
        <v>0.25238095238095237</v>
      </c>
      <c r="G72">
        <v>0.119047619047619</v>
      </c>
    </row>
    <row r="73" spans="1:7" x14ac:dyDescent="0.15">
      <c r="A73" t="str">
        <f>HYPERLINK("./new_k5/query_cmdrels_weight_analyze/0.4_0.5_0.1/au_259354.xlsx","au_259354")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0.42857142857142849</v>
      </c>
    </row>
    <row r="74" spans="1:7" x14ac:dyDescent="0.15">
      <c r="A74" t="str">
        <f>HYPERLINK("./new_k5/query_cmdrels_weight_analyze/0.4_0.5_0.1/au_263378.xlsx","au_263378")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0.47499999999999998</v>
      </c>
    </row>
    <row r="75" spans="1:7" x14ac:dyDescent="0.15">
      <c r="A75" t="str">
        <f>HYPERLINK("./new_k5/query_cmdrels_weight_analyze/0.4_0.5_0.1/au_264215.xlsx","au_264215")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HYPERLINK("./new_k5/query_cmdrels_weight_analyze/0.4_0.5_0.1/au_265176.xlsx","au_265176")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HYPERLINK("./new_k5/query_cmdrels_weight_analyze/0.4_0.5_0.1/au_275704.xlsx","au_275704")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HYPERLINK("./new_k5/query_cmdrels_weight_analyze/0.4_0.5_0.1/au_276669.xlsx","au_276669")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HYPERLINK("./new_k5/query_cmdrels_weight_analyze/0.4_0.5_0.1/au_277565.xlsx","au_277565")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HYPERLINK("./new_k5/query_cmdrels_weight_analyze/0.4_0.5_0.1/au_278403.xlsx","au_278403")</f>
        <v>au_278403</v>
      </c>
      <c r="B80">
        <v>0</v>
      </c>
      <c r="C80">
        <v>0.25</v>
      </c>
      <c r="D80">
        <v>8.3333333333333329E-2</v>
      </c>
      <c r="E80">
        <v>0.25</v>
      </c>
      <c r="F80">
        <v>0.20833333333333329</v>
      </c>
      <c r="G80">
        <v>0.375</v>
      </c>
    </row>
    <row r="81" spans="1:7" x14ac:dyDescent="0.15">
      <c r="A81" t="str">
        <f>HYPERLINK("./new_k5/query_cmdrels_weight_analyze/0.4_0.5_0.1/au_28039.xlsx","au_28039")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HYPERLINK("./new_k5/query_cmdrels_weight_analyze/0.4_0.5_0.1/au_281509.xlsx","au_281509")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HYPERLINK("./new_k5/query_cmdrels_weight_analyze/0.4_0.5_0.1/au_282806.xlsx","au_282806")</f>
        <v>au_282806</v>
      </c>
      <c r="B83">
        <v>0</v>
      </c>
      <c r="C83">
        <v>0.33333333333333331</v>
      </c>
      <c r="D83">
        <v>0.38888888888888878</v>
      </c>
      <c r="E83">
        <v>0.55555555555555547</v>
      </c>
      <c r="F83">
        <v>0.38888888888888878</v>
      </c>
      <c r="G83">
        <v>0.75555555555555554</v>
      </c>
    </row>
    <row r="84" spans="1:7" x14ac:dyDescent="0.15">
      <c r="A84" t="str">
        <f>HYPERLINK("./new_k5/query_cmdrels_weight_analyze/0.4_0.5_0.1/au_283559.xlsx","au_283559")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HYPERLINK("./new_k5/query_cmdrels_weight_analyze/0.4_0.5_0.1/au_285539.xlsx","au_285539")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HYPERLINK("./new_k5/query_cmdrels_weight_analyze/0.4_0.5_0.1/au_287532.xlsx","au_287532")</f>
        <v>au_287532</v>
      </c>
      <c r="B86">
        <v>0</v>
      </c>
      <c r="C86">
        <v>0</v>
      </c>
      <c r="D86">
        <v>0</v>
      </c>
      <c r="E86">
        <v>8.3333333333333329E-2</v>
      </c>
      <c r="F86">
        <v>0</v>
      </c>
      <c r="G86">
        <v>8.3333333333333329E-2</v>
      </c>
    </row>
    <row r="87" spans="1:7" x14ac:dyDescent="0.15">
      <c r="A87" t="str">
        <f>HYPERLINK("./new_k5/query_cmdrels_weight_analyze/0.4_0.5_0.1/au_294257.xlsx","au_294257")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HYPERLINK("./new_k5/query_cmdrels_weight_analyze/0.4_0.5_0.1/au_296155.xlsx","au_296155")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HYPERLINK("./new_k5/query_cmdrels_weight_analyze/0.4_0.5_0.1/au_299975.xlsx","au_299975")</f>
        <v>au_299975</v>
      </c>
      <c r="B89">
        <v>0.25</v>
      </c>
      <c r="C89">
        <v>0</v>
      </c>
      <c r="D89">
        <v>0.5</v>
      </c>
      <c r="E89">
        <v>8.3333333333333329E-2</v>
      </c>
      <c r="F89">
        <v>0.6875</v>
      </c>
      <c r="G89">
        <v>0.20833333333333329</v>
      </c>
    </row>
    <row r="90" spans="1:7" x14ac:dyDescent="0.15">
      <c r="A90" t="str">
        <f>HYPERLINK("./new_k5/query_cmdrels_weight_analyze/0.4_0.5_0.1/au_301096.xlsx","au_301096")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HYPERLINK("./new_k5/query_cmdrels_weight_analyze/0.4_0.5_0.1/au_303593.xlsx","au_303593")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HYPERLINK("./new_k5/query_cmdrels_weight_analyze/0.4_0.5_0.1/au_303849.xlsx","au_303849")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HYPERLINK("./new_k5/query_cmdrels_weight_analyze/0.4_0.5_0.1/au_307541.xlsx","au_307541")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HYPERLINK("./new_k5/query_cmdrels_weight_analyze/0.4_0.5_0.1/au_307688.xlsx","au_307688")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HYPERLINK("./new_k5/query_cmdrels_weight_analyze/0.4_0.5_0.1/au_309047.xlsx","au_309047")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HYPERLINK("./new_k5/query_cmdrels_weight_analyze/0.4_0.5_0.1/au_311558.xlsx","au_311558")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0.41666666666666657</v>
      </c>
    </row>
    <row r="97" spans="1:7" x14ac:dyDescent="0.15">
      <c r="A97" t="str">
        <f>HYPERLINK("./new_k5/query_cmdrels_weight_analyze/0.4_0.5_0.1/au_318973.xlsx","au_318973")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HYPERLINK("./new_k5/query_cmdrels_weight_analyze/0.4_0.5_0.1/au_3205.xlsx","au_3205")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HYPERLINK("./new_k5/query_cmdrels_weight_analyze/0.4_0.5_0.1/au_323131.xlsx","au_323131")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HYPERLINK("./new_k5/query_cmdrels_weight_analyze/0.4_0.5_0.1/au_323392.xlsx","au_323392")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HYPERLINK("./new_k5/query_cmdrels_weight_analyze/0.4_0.5_0.1/au_325368.xlsx","au_325368")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HYPERLINK("./new_k5/query_cmdrels_weight_analyze/0.4_0.5_0.1/au_328162.xlsx","au_328162")</f>
        <v>au_328162</v>
      </c>
      <c r="B102">
        <v>0.33333333333333331</v>
      </c>
      <c r="C102">
        <v>0.33333333333333331</v>
      </c>
      <c r="D102">
        <v>1</v>
      </c>
      <c r="E102">
        <v>0.33333333333333331</v>
      </c>
      <c r="F102">
        <v>1</v>
      </c>
      <c r="G102">
        <v>0.5</v>
      </c>
    </row>
    <row r="103" spans="1:7" x14ac:dyDescent="0.15">
      <c r="A103" t="str">
        <f>HYPERLINK("./new_k5/query_cmdrels_weight_analyze/0.4_0.5_0.1/au_330148.xlsx","au_330148")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HYPERLINK("./new_k5/query_cmdrels_weight_analyze/0.4_0.5_0.1/au_332315.xlsx","au_332315")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HYPERLINK("./new_k5/query_cmdrels_weight_analyze/0.4_0.5_0.1/au_334081.xlsx","au_334081")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HYPERLINK("./new_k5/query_cmdrels_weight_analyze/0.4_0.5_0.1/au_34077.xlsx","au_34077")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0.5</v>
      </c>
      <c r="F106">
        <v>0.33333333333333331</v>
      </c>
      <c r="G106">
        <v>0.6333333333333333</v>
      </c>
    </row>
    <row r="107" spans="1:7" x14ac:dyDescent="0.15">
      <c r="A107" t="str">
        <f>HYPERLINK("./new_k5/query_cmdrels_weight_analyze/0.4_0.5_0.1/au_341428.xlsx","au_341428")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HYPERLINK("./new_k5/query_cmdrels_weight_analyze/0.4_0.5_0.1/au_341584.xlsx","au_341584")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HYPERLINK("./new_k5/query_cmdrels_weight_analyze/0.4_0.5_0.1/au_346864.xlsx","au_346864")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0.14285714285714279</v>
      </c>
      <c r="F109">
        <v>0.23809523809523811</v>
      </c>
      <c r="G109">
        <v>0.2142857142857143</v>
      </c>
    </row>
    <row r="110" spans="1:7" x14ac:dyDescent="0.15">
      <c r="A110" t="str">
        <f>HYPERLINK("./new_k5/query_cmdrels_weight_analyze/0.4_0.5_0.1/au_351765.xlsx","au_351765")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0.5</v>
      </c>
    </row>
    <row r="111" spans="1:7" x14ac:dyDescent="0.15">
      <c r="A111" t="str">
        <f>HYPERLINK("./new_k5/query_cmdrels_weight_analyze/0.4_0.5_0.1/au_35922.xlsx","au_35922")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HYPERLINK("./new_k5/query_cmdrels_weight_analyze/0.4_0.5_0.1/au_359856.xlsx","au_359856")</f>
        <v>au_359856</v>
      </c>
      <c r="B112">
        <v>0.25</v>
      </c>
      <c r="C112">
        <v>0.25</v>
      </c>
      <c r="D112">
        <v>0.75</v>
      </c>
      <c r="E112">
        <v>0.5</v>
      </c>
      <c r="F112">
        <v>0.95</v>
      </c>
      <c r="G112">
        <v>0.5</v>
      </c>
    </row>
    <row r="113" spans="1:7" x14ac:dyDescent="0.15">
      <c r="A113" t="str">
        <f>HYPERLINK("./new_k5/query_cmdrels_weight_analyze/0.4_0.5_0.1/au_360423.xlsx","au_360423")</f>
        <v>au_360423</v>
      </c>
      <c r="B113">
        <v>0</v>
      </c>
      <c r="C113">
        <v>0</v>
      </c>
      <c r="D113">
        <v>0</v>
      </c>
      <c r="E113">
        <v>0.25</v>
      </c>
      <c r="F113">
        <v>0</v>
      </c>
      <c r="G113">
        <v>0.25</v>
      </c>
    </row>
    <row r="114" spans="1:7" x14ac:dyDescent="0.15">
      <c r="A114" t="str">
        <f>HYPERLINK("./new_k5/query_cmdrels_weight_analyze/0.4_0.5_0.1/au_36287.xlsx","au_36287")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HYPERLINK("./new_k5/query_cmdrels_weight_analyze/0.4_0.5_0.1/au_366742.xlsx","au_366742")</f>
        <v>au_366742</v>
      </c>
      <c r="B115">
        <v>0</v>
      </c>
      <c r="C115">
        <v>0</v>
      </c>
      <c r="D115">
        <v>0</v>
      </c>
      <c r="E115">
        <v>0.125</v>
      </c>
      <c r="F115">
        <v>0</v>
      </c>
      <c r="G115">
        <v>0.22500000000000001</v>
      </c>
    </row>
    <row r="116" spans="1:7" x14ac:dyDescent="0.15">
      <c r="A116" t="str">
        <f>HYPERLINK("./new_k5/query_cmdrels_weight_analyze/0.4_0.5_0.1/au_377937.xlsx","au_377937")</f>
        <v>au_377937</v>
      </c>
      <c r="B116">
        <v>0.25</v>
      </c>
      <c r="C116">
        <v>0.25</v>
      </c>
      <c r="D116">
        <v>0.5</v>
      </c>
      <c r="E116">
        <v>0.5</v>
      </c>
      <c r="F116">
        <v>0.5</v>
      </c>
      <c r="G116">
        <v>0.6875</v>
      </c>
    </row>
    <row r="117" spans="1:7" x14ac:dyDescent="0.15">
      <c r="A117" t="str">
        <f>HYPERLINK("./new_k5/query_cmdrels_weight_analyze/0.4_0.5_0.1/au_383997.xlsx","au_383997")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0.2857142857142857</v>
      </c>
    </row>
    <row r="118" spans="1:7" x14ac:dyDescent="0.15">
      <c r="A118" t="str">
        <f>HYPERLINK("./new_k5/query_cmdrels_weight_analyze/0.4_0.5_0.1/au_3883.xlsx","au_3883")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0.35</v>
      </c>
    </row>
    <row r="119" spans="1:7" x14ac:dyDescent="0.15">
      <c r="A119" t="str">
        <f>HYPERLINK("./new_k5/query_cmdrels_weight_analyze/0.4_0.5_0.1/au_396883.xlsx","au_396883")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HYPERLINK("./new_k5/query_cmdrels_weight_analyze/0.4_0.5_0.1/au_39760.xlsx","au_39760")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HYPERLINK("./new_k5/query_cmdrels_weight_analyze/0.4_0.5_0.1/au_398818.xlsx","au_398818")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HYPERLINK("./new_k5/query_cmdrels_weight_analyze/0.4_0.5_0.1/au_400807.xlsx","au_400807")</f>
        <v>au_400807</v>
      </c>
      <c r="B122">
        <v>0</v>
      </c>
      <c r="C122">
        <v>0.33333333333333331</v>
      </c>
      <c r="D122">
        <v>0.16666666666666671</v>
      </c>
      <c r="E122">
        <v>0.55555555555555547</v>
      </c>
      <c r="F122">
        <v>0.16666666666666671</v>
      </c>
      <c r="G122">
        <v>0.75555555555555554</v>
      </c>
    </row>
    <row r="123" spans="1:7" x14ac:dyDescent="0.15">
      <c r="A123" t="str">
        <f>HYPERLINK("./new_k5/query_cmdrels_weight_analyze/0.4_0.5_0.1/au_408611.xlsx","au_408611")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HYPERLINK("./new_k5/query_cmdrels_weight_analyze/0.4_0.5_0.1/au_414737.xlsx","au_414737")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HYPERLINK("./new_k5/query_cmdrels_weight_analyze/0.4_0.5_0.1/au_420722.xlsx","au_420722")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0.55555555555555547</v>
      </c>
      <c r="F125">
        <v>0.66666666666666663</v>
      </c>
      <c r="G125">
        <v>0.55555555555555547</v>
      </c>
    </row>
    <row r="126" spans="1:7" x14ac:dyDescent="0.15">
      <c r="A126" t="str">
        <f>HYPERLINK("./new_k5/query_cmdrels_weight_analyze/0.4_0.5_0.1/au_423942.xlsx","au_423942")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HYPERLINK("./new_k5/query_cmdrels_weight_analyze/0.4_0.5_0.1/au_430382.xlsx","au_430382")</f>
        <v>au_430382</v>
      </c>
      <c r="B127">
        <v>0</v>
      </c>
      <c r="C127">
        <v>0.25</v>
      </c>
      <c r="D127">
        <v>0.29166666666666657</v>
      </c>
      <c r="E127">
        <v>0.5</v>
      </c>
      <c r="F127">
        <v>0.29166666666666657</v>
      </c>
      <c r="G127">
        <v>0.5</v>
      </c>
    </row>
    <row r="128" spans="1:7" x14ac:dyDescent="0.15">
      <c r="A128" t="str">
        <f>HYPERLINK("./new_k5/query_cmdrels_weight_analyze/0.4_0.5_0.1/au_432836.xlsx","au_432836")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HYPERLINK("./new_k5/query_cmdrels_weight_analyze/0.4_0.5_0.1/au_440326.xlsx","au_440326")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HYPERLINK("./new_k5/query_cmdrels_weight_analyze/0.4_0.5_0.1/au_442914.xlsx","au_442914")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HYPERLINK("./new_k5/query_cmdrels_weight_analyze/0.4_0.5_0.1/au_443227.xlsx","au_443227")</f>
        <v>au_443227</v>
      </c>
      <c r="B131">
        <v>0.5</v>
      </c>
      <c r="C131">
        <v>0</v>
      </c>
      <c r="D131">
        <v>0.5</v>
      </c>
      <c r="E131">
        <v>0</v>
      </c>
      <c r="F131">
        <v>0.5</v>
      </c>
      <c r="G131">
        <v>0.1</v>
      </c>
    </row>
    <row r="132" spans="1:7" x14ac:dyDescent="0.15">
      <c r="A132" t="str">
        <f>HYPERLINK("./new_k5/query_cmdrels_weight_analyze/0.4_0.5_0.1/au_44534.xlsx","au_44534")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HYPERLINK("./new_k5/query_cmdrels_weight_analyze/0.4_0.5_0.1/au_451805.xlsx","au_451805")</f>
        <v>au_451805</v>
      </c>
      <c r="B133">
        <v>0.33333333333333331</v>
      </c>
      <c r="C133">
        <v>0.33333333333333331</v>
      </c>
      <c r="D133">
        <v>0.33333333333333331</v>
      </c>
      <c r="E133">
        <v>0.33333333333333331</v>
      </c>
      <c r="F133">
        <v>0.33333333333333331</v>
      </c>
      <c r="G133">
        <v>0.33333333333333331</v>
      </c>
    </row>
    <row r="134" spans="1:7" x14ac:dyDescent="0.15">
      <c r="A134" t="str">
        <f>HYPERLINK("./new_k5/query_cmdrels_weight_analyze/0.4_0.5_0.1/au_464264.xlsx","au_464264")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0.16666666666666671</v>
      </c>
    </row>
    <row r="135" spans="1:7" x14ac:dyDescent="0.15">
      <c r="A135" t="str">
        <f>HYPERLINK("./new_k5/query_cmdrels_weight_analyze/0.4_0.5_0.1/au_468808.xlsx","au_468808")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HYPERLINK("./new_k5/query_cmdrels_weight_analyze/0.4_0.5_0.1/au_469143.xlsx","au_469143")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HYPERLINK("./new_k5/query_cmdrels_weight_analyze/0.4_0.5_0.1/au_470237.xlsx","au_470237")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HYPERLINK("./new_k5/query_cmdrels_weight_analyze/0.4_0.5_0.1/au_473037.xlsx","au_473037")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0.1</v>
      </c>
    </row>
    <row r="139" spans="1:7" x14ac:dyDescent="0.15">
      <c r="A139" t="str">
        <f>HYPERLINK("./new_k5/query_cmdrels_weight_analyze/0.4_0.5_0.1/au_48362.xlsx","au_48362")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HYPERLINK("./new_k5/query_cmdrels_weight_analyze/0.4_0.5_0.1/au_488435.xlsx","au_488435")</f>
        <v>au_488435</v>
      </c>
      <c r="B140">
        <v>0</v>
      </c>
      <c r="C140">
        <v>0</v>
      </c>
      <c r="D140">
        <v>0.125</v>
      </c>
      <c r="E140">
        <v>8.3333333333333329E-2</v>
      </c>
      <c r="F140">
        <v>0.25</v>
      </c>
      <c r="G140">
        <v>8.3333333333333329E-2</v>
      </c>
    </row>
    <row r="141" spans="1:7" x14ac:dyDescent="0.15">
      <c r="A141" t="str">
        <f>HYPERLINK("./new_k5/query_cmdrels_weight_analyze/0.4_0.5_0.1/au_493826.xlsx","au_493826")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0.23809523809523811</v>
      </c>
      <c r="F141">
        <v>0.14285714285714279</v>
      </c>
      <c r="G141">
        <v>0.23809523809523811</v>
      </c>
    </row>
    <row r="142" spans="1:7" x14ac:dyDescent="0.15">
      <c r="A142" t="str">
        <f>HYPERLINK("./new_k5/query_cmdrels_weight_analyze/0.4_0.5_0.1/au_502110.xlsx","au_502110")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HYPERLINK("./new_k5/query_cmdrels_weight_analyze/0.4_0.5_0.1/au_50344.xlsx","au_50344")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HYPERLINK("./new_k5/query_cmdrels_weight_analyze/0.4_0.5_0.1/au_511467.xlsx","au_511467")</f>
        <v>au_511467</v>
      </c>
      <c r="B144">
        <v>0</v>
      </c>
      <c r="C144">
        <v>0.16666666666666671</v>
      </c>
      <c r="D144">
        <v>0.19444444444444439</v>
      </c>
      <c r="E144">
        <v>0.33333333333333331</v>
      </c>
      <c r="F144">
        <v>0.19444444444444439</v>
      </c>
      <c r="G144">
        <v>0.45833333333333331</v>
      </c>
    </row>
    <row r="145" spans="1:7" x14ac:dyDescent="0.15">
      <c r="A145" t="str">
        <f>HYPERLINK("./new_k5/query_cmdrels_weight_analyze/0.4_0.5_0.1/au_513046.xlsx","au_513046")</f>
        <v>au_513046</v>
      </c>
      <c r="B145">
        <v>0.25</v>
      </c>
      <c r="C145">
        <v>0</v>
      </c>
      <c r="D145">
        <v>0.5</v>
      </c>
      <c r="E145">
        <v>8.3333333333333329E-2</v>
      </c>
      <c r="F145">
        <v>0.5</v>
      </c>
      <c r="G145">
        <v>0.35833333333333328</v>
      </c>
    </row>
    <row r="146" spans="1:7" x14ac:dyDescent="0.15">
      <c r="A146" t="str">
        <f>HYPERLINK("./new_k5/query_cmdrels_weight_analyze/0.4_0.5_0.1/au_517354.xlsx","au_517354")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0.34523809523809518</v>
      </c>
    </row>
    <row r="147" spans="1:7" x14ac:dyDescent="0.15">
      <c r="A147" t="str">
        <f>HYPERLINK("./new_k5/query_cmdrels_weight_analyze/0.4_0.5_0.1/au_522431.xlsx","au_522431")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0.3833333333333333</v>
      </c>
    </row>
    <row r="148" spans="1:7" x14ac:dyDescent="0.15">
      <c r="A148" t="str">
        <f>HYPERLINK("./new_k5/query_cmdrels_weight_analyze/0.4_0.5_0.1/au_52773.xlsx","au_52773")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0.05</v>
      </c>
    </row>
    <row r="149" spans="1:7" x14ac:dyDescent="0.15">
      <c r="A149" t="str">
        <f>HYPERLINK("./new_k5/query_cmdrels_weight_analyze/0.4_0.5_0.1/au_528411.xlsx","au_528411")</f>
        <v>au_528411</v>
      </c>
      <c r="B149">
        <v>0</v>
      </c>
      <c r="C149">
        <v>0</v>
      </c>
      <c r="D149">
        <v>0</v>
      </c>
      <c r="E149">
        <v>0.16666666666666671</v>
      </c>
      <c r="F149">
        <v>0</v>
      </c>
      <c r="G149">
        <v>0.16666666666666671</v>
      </c>
    </row>
    <row r="150" spans="1:7" x14ac:dyDescent="0.15">
      <c r="A150" t="str">
        <f>HYPERLINK("./new_k5/query_cmdrels_weight_analyze/0.4_0.5_0.1/au_53263.xlsx","au_53263")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1</v>
      </c>
    </row>
    <row r="151" spans="1:7" x14ac:dyDescent="0.15">
      <c r="A151" t="str">
        <f>HYPERLINK("./new_k5/query_cmdrels_weight_analyze/0.4_0.5_0.1/au_53444.xlsx","au_53444")</f>
        <v>au_53444</v>
      </c>
      <c r="B151">
        <v>0.5</v>
      </c>
      <c r="C151">
        <v>0</v>
      </c>
      <c r="D151">
        <v>0.5</v>
      </c>
      <c r="E151">
        <v>0.16666666666666671</v>
      </c>
      <c r="F151">
        <v>0.5</v>
      </c>
      <c r="G151">
        <v>0.16666666666666671</v>
      </c>
    </row>
    <row r="152" spans="1:7" x14ac:dyDescent="0.15">
      <c r="A152" t="str">
        <f>HYPERLINK("./new_k5/query_cmdrels_weight_analyze/0.4_0.5_0.1/au_538208.xlsx","au_538208")</f>
        <v>au_538208</v>
      </c>
      <c r="B152">
        <v>0.125</v>
      </c>
      <c r="C152">
        <v>0.125</v>
      </c>
      <c r="D152">
        <v>0.375</v>
      </c>
      <c r="E152">
        <v>0.25</v>
      </c>
      <c r="F152">
        <v>0.5</v>
      </c>
      <c r="G152">
        <v>0.44374999999999998</v>
      </c>
    </row>
    <row r="153" spans="1:7" x14ac:dyDescent="0.15">
      <c r="A153" t="str">
        <f>HYPERLINK("./new_k5/query_cmdrels_weight_analyze/0.4_0.5_0.1/au_53822.xlsx","au_53822")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HYPERLINK("./new_k5/query_cmdrels_weight_analyze/0.4_0.5_0.1/au_539243.xlsx","au_539243")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</v>
      </c>
    </row>
    <row r="155" spans="1:7" x14ac:dyDescent="0.15">
      <c r="A155" t="str">
        <f>HYPERLINK("./new_k5/query_cmdrels_weight_analyze/0.4_0.5_0.1/au_558280.xlsx","au_558280")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HYPERLINK("./new_k5/query_cmdrels_weight_analyze/0.4_0.5_0.1/au_558669.xlsx","au_558669")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HYPERLINK("./new_k5/query_cmdrels_weight_analyze/0.4_0.5_0.1/au_55868.xlsx","au_55868")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HYPERLINK("./new_k5/query_cmdrels_weight_analyze/0.4_0.5_0.1/au_561.xlsx","au_561")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0.65</v>
      </c>
    </row>
    <row r="159" spans="1:7" x14ac:dyDescent="0.15">
      <c r="A159" t="str">
        <f>HYPERLINK("./new_k5/query_cmdrels_weight_analyze/0.4_0.5_0.1/au_564567.xlsx","au_564567")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HYPERLINK("./new_k5/query_cmdrels_weight_analyze/0.4_0.5_0.1/au_57994.xlsx","au_57994")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0.5714285714285714</v>
      </c>
    </row>
    <row r="161" spans="1:7" x14ac:dyDescent="0.15">
      <c r="A161" t="str">
        <f>HYPERLINK("./new_k5/query_cmdrels_weight_analyze/0.4_0.5_0.1/au_589210.xlsx","au_589210")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0.35</v>
      </c>
    </row>
    <row r="162" spans="1:7" x14ac:dyDescent="0.15">
      <c r="A162" t="str">
        <f>HYPERLINK("./new_k5/query_cmdrels_weight_analyze/0.4_0.5_0.1/au_5911.xlsx","au_5911")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HYPERLINK("./new_k5/query_cmdrels_weight_analyze/0.4_0.5_0.1/au_59356.xlsx","au_59356")</f>
        <v>au_59356</v>
      </c>
      <c r="B163">
        <v>0</v>
      </c>
      <c r="C163">
        <v>0</v>
      </c>
      <c r="D163">
        <v>0.16666666666666671</v>
      </c>
      <c r="E163">
        <v>0</v>
      </c>
      <c r="F163">
        <v>0.16666666666666671</v>
      </c>
      <c r="G163">
        <v>0</v>
      </c>
    </row>
    <row r="164" spans="1:7" x14ac:dyDescent="0.15">
      <c r="A164" t="str">
        <f>HYPERLINK("./new_k5/query_cmdrels_weight_analyze/0.4_0.5_0.1/au_609850.xlsx","au_609850")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HYPERLINK("./new_k5/query_cmdrels_weight_analyze/0.4_0.5_0.1/au_61408.xlsx","au_61408")</f>
        <v>au_61408</v>
      </c>
      <c r="B165">
        <v>0</v>
      </c>
      <c r="C165">
        <v>0.33333333333333331</v>
      </c>
      <c r="D165">
        <v>0.16666666666666671</v>
      </c>
      <c r="E165">
        <v>0.33333333333333331</v>
      </c>
      <c r="F165">
        <v>0.16666666666666671</v>
      </c>
      <c r="G165">
        <v>0.33333333333333331</v>
      </c>
    </row>
    <row r="166" spans="1:7" x14ac:dyDescent="0.15">
      <c r="A166" t="str">
        <f>HYPERLINK("./new_k5/query_cmdrels_weight_analyze/0.4_0.5_0.1/au_617850.xlsx","au_617850")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HYPERLINK("./new_k5/query_cmdrels_weight_analyze/0.4_0.5_0.1/au_62073.xlsx","au_62073")</f>
        <v>au_62073</v>
      </c>
      <c r="B167">
        <v>0</v>
      </c>
      <c r="C167">
        <v>0.2</v>
      </c>
      <c r="D167">
        <v>0.23333333333333331</v>
      </c>
      <c r="E167">
        <v>0.4</v>
      </c>
      <c r="F167">
        <v>0.23333333333333331</v>
      </c>
      <c r="G167">
        <v>0.71</v>
      </c>
    </row>
    <row r="168" spans="1:7" x14ac:dyDescent="0.15">
      <c r="A168" t="str">
        <f>HYPERLINK("./new_k5/query_cmdrels_weight_analyze/0.4_0.5_0.1/au_620930.xlsx","au_620930")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0.45333333333333331</v>
      </c>
    </row>
    <row r="169" spans="1:7" x14ac:dyDescent="0.15">
      <c r="A169" t="str">
        <f>HYPERLINK("./new_k5/query_cmdrels_weight_analyze/0.4_0.5_0.1/au_62492.xlsx","au_62492")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HYPERLINK("./new_k5/query_cmdrels_weight_analyze/0.4_0.5_0.1/au_626078.xlsx","au_626078")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HYPERLINK("./new_k5/query_cmdrels_weight_analyze/0.4_0.5_0.1/au_636944.xlsx","au_636944")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HYPERLINK("./new_k5/query_cmdrels_weight_analyze/0.4_0.5_0.1/au_648603.xlsx","au_648603")</f>
        <v>au_648603</v>
      </c>
      <c r="B172">
        <v>0.25</v>
      </c>
      <c r="C172">
        <v>0.25</v>
      </c>
      <c r="D172">
        <v>0.25</v>
      </c>
      <c r="E172">
        <v>0.25</v>
      </c>
      <c r="F172">
        <v>0.25</v>
      </c>
      <c r="G172">
        <v>0.35</v>
      </c>
    </row>
    <row r="173" spans="1:7" x14ac:dyDescent="0.15">
      <c r="A173" t="str">
        <f>HYPERLINK("./new_k5/query_cmdrels_weight_analyze/0.4_0.5_0.1/au_65331.xlsx","au_65331")</f>
        <v>au_65331</v>
      </c>
      <c r="B173">
        <v>0</v>
      </c>
      <c r="C173">
        <v>0.16666666666666671</v>
      </c>
      <c r="D173">
        <v>8.3333333333333329E-2</v>
      </c>
      <c r="E173">
        <v>0.27777777777777768</v>
      </c>
      <c r="F173">
        <v>0.16666666666666671</v>
      </c>
      <c r="G173">
        <v>0.27777777777777768</v>
      </c>
    </row>
    <row r="174" spans="1:7" x14ac:dyDescent="0.15">
      <c r="A174" t="str">
        <f>HYPERLINK("./new_k5/query_cmdrels_weight_analyze/0.4_0.5_0.1/au_66000.xlsx","au_66000")</f>
        <v>au_66000</v>
      </c>
      <c r="B174">
        <v>0</v>
      </c>
      <c r="C174">
        <v>0</v>
      </c>
      <c r="D174">
        <v>0</v>
      </c>
      <c r="E174">
        <v>0.23333333333333331</v>
      </c>
      <c r="F174">
        <v>0</v>
      </c>
      <c r="G174">
        <v>0.54333333333333333</v>
      </c>
    </row>
    <row r="175" spans="1:7" x14ac:dyDescent="0.15">
      <c r="A175" t="str">
        <f>HYPERLINK("./new_k5/query_cmdrels_weight_analyze/0.4_0.5_0.1/au_660846.xlsx","au_660846")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HYPERLINK("./new_k5/query_cmdrels_weight_analyze/0.4_0.5_0.1/au_662935.xlsx","au_662935")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0.34375</v>
      </c>
    </row>
    <row r="177" spans="1:7" x14ac:dyDescent="0.15">
      <c r="A177" t="str">
        <f>HYPERLINK("./new_k5/query_cmdrels_weight_analyze/0.4_0.5_0.1/au_67663.xlsx","au_67663")</f>
        <v>au_67663</v>
      </c>
      <c r="B177">
        <v>0</v>
      </c>
      <c r="C177">
        <v>0.25</v>
      </c>
      <c r="D177">
        <v>0.29166666666666657</v>
      </c>
      <c r="E177">
        <v>0.75</v>
      </c>
      <c r="F177">
        <v>0.29166666666666657</v>
      </c>
      <c r="G177">
        <v>0.75</v>
      </c>
    </row>
    <row r="178" spans="1:7" x14ac:dyDescent="0.15">
      <c r="A178" t="str">
        <f>HYPERLINK("./new_k5/query_cmdrels_weight_analyze/0.4_0.5_0.1/au_68028.xlsx","au_68028")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0.2857142857142857</v>
      </c>
      <c r="F178">
        <v>0.37142857142857139</v>
      </c>
      <c r="G178">
        <v>0.39285714285714279</v>
      </c>
    </row>
    <row r="179" spans="1:7" x14ac:dyDescent="0.15">
      <c r="A179" t="str">
        <f>HYPERLINK("./new_k5/query_cmdrels_weight_analyze/0.4_0.5_0.1/au_681312.xlsx","au_681312")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0.23809523809523811</v>
      </c>
      <c r="F179">
        <v>0.42857142857142849</v>
      </c>
      <c r="G179">
        <v>0.34523809523809518</v>
      </c>
    </row>
    <row r="180" spans="1:7" x14ac:dyDescent="0.15">
      <c r="A180" t="str">
        <f>HYPERLINK("./new_k5/query_cmdrels_weight_analyze/0.4_0.5_0.1/au_686239.xlsx","au_686239")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HYPERLINK("./new_k5/query_cmdrels_weight_analyze/0.4_0.5_0.1/au_68809.xlsx","au_68809")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0.28333333333333333</v>
      </c>
    </row>
    <row r="182" spans="1:7" x14ac:dyDescent="0.15">
      <c r="A182" t="str">
        <f>HYPERLINK("./new_k5/query_cmdrels_weight_analyze/0.4_0.5_0.1/au_69556.xlsx","au_69556")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HYPERLINK("./new_k5/query_cmdrels_weight_analyze/0.4_0.5_0.1/au_698993.xlsx","au_698993")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HYPERLINK("./new_k5/query_cmdrels_weight_analyze/0.4_0.5_0.1/au_707881.xlsx","au_707881")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HYPERLINK("./new_k5/query_cmdrels_weight_analyze/0.4_0.5_0.1/au_709594.xlsx","au_709594")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HYPERLINK("./new_k5/query_cmdrels_weight_analyze/0.4_0.5_0.1/au_71309.xlsx","au_71309")</f>
        <v>au_71309</v>
      </c>
      <c r="B186">
        <v>0.125</v>
      </c>
      <c r="C186">
        <v>0.125</v>
      </c>
      <c r="D186">
        <v>0.20833333333333329</v>
      </c>
      <c r="E186">
        <v>0.375</v>
      </c>
      <c r="F186">
        <v>0.20833333333333329</v>
      </c>
      <c r="G186">
        <v>0.375</v>
      </c>
    </row>
    <row r="187" spans="1:7" x14ac:dyDescent="0.15">
      <c r="A187" t="str">
        <f>HYPERLINK("./new_k5/query_cmdrels_weight_analyze/0.4_0.5_0.1/au_7138.xlsx","au_7138")</f>
        <v>au_7138</v>
      </c>
      <c r="B187">
        <v>0.25</v>
      </c>
      <c r="C187">
        <v>0</v>
      </c>
      <c r="D187">
        <v>0.75</v>
      </c>
      <c r="E187">
        <v>0</v>
      </c>
      <c r="F187">
        <v>0.75</v>
      </c>
      <c r="G187">
        <v>6.25E-2</v>
      </c>
    </row>
    <row r="188" spans="1:7" x14ac:dyDescent="0.15">
      <c r="A188" t="str">
        <f>HYPERLINK("./new_k5/query_cmdrels_weight_analyze/0.4_0.5_0.1/au_72549.xlsx","au_72549")</f>
        <v>au_72549</v>
      </c>
      <c r="B188">
        <v>0</v>
      </c>
      <c r="C188">
        <v>0.25</v>
      </c>
      <c r="D188">
        <v>0</v>
      </c>
      <c r="E188">
        <v>0.25</v>
      </c>
      <c r="F188">
        <v>0</v>
      </c>
      <c r="G188">
        <v>0.25</v>
      </c>
    </row>
    <row r="189" spans="1:7" x14ac:dyDescent="0.15">
      <c r="A189" t="str">
        <f>HYPERLINK("./new_k5/query_cmdrels_weight_analyze/0.4_0.5_0.1/au_740805.xlsx","au_740805")</f>
        <v>au_740805</v>
      </c>
      <c r="B189">
        <v>0.25</v>
      </c>
      <c r="C189">
        <v>0</v>
      </c>
      <c r="D189">
        <v>0.41666666666666657</v>
      </c>
      <c r="E189">
        <v>8.3333333333333329E-2</v>
      </c>
      <c r="F189">
        <v>0.41666666666666657</v>
      </c>
      <c r="G189">
        <v>0.18333333333333329</v>
      </c>
    </row>
    <row r="190" spans="1:7" x14ac:dyDescent="0.15">
      <c r="A190" t="str">
        <f>HYPERLINK("./new_k5/query_cmdrels_weight_analyze/0.4_0.5_0.1/au_760796.xlsx","au_760796")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HYPERLINK("./new_k5/query_cmdrels_weight_analyze/0.4_0.5_0.1/au_762846.xlsx","au_762846")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0.45833333333333331</v>
      </c>
    </row>
    <row r="192" spans="1:7" x14ac:dyDescent="0.15">
      <c r="A192" t="str">
        <f>HYPERLINK("./new_k5/query_cmdrels_weight_analyze/0.4_0.5_0.1/au_767786.xlsx","au_767786")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0.76</v>
      </c>
    </row>
    <row r="193" spans="1:7" x14ac:dyDescent="0.15">
      <c r="A193" t="str">
        <f>HYPERLINK("./new_k5/query_cmdrels_weight_analyze/0.4_0.5_0.1/au_778906.xlsx","au_778906")</f>
        <v>au_778906</v>
      </c>
      <c r="B193">
        <v>0.2</v>
      </c>
      <c r="C193">
        <v>0.2</v>
      </c>
      <c r="D193">
        <v>0.33333333333333331</v>
      </c>
      <c r="E193">
        <v>0.6</v>
      </c>
      <c r="F193">
        <v>0.33333333333333331</v>
      </c>
      <c r="G193">
        <v>0.6</v>
      </c>
    </row>
    <row r="194" spans="1:7" x14ac:dyDescent="0.15">
      <c r="A194" t="str">
        <f>HYPERLINK("./new_k5/query_cmdrels_weight_analyze/0.4_0.5_0.1/au_818929.xlsx","au_818929")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0.42</v>
      </c>
    </row>
    <row r="195" spans="1:7" x14ac:dyDescent="0.15">
      <c r="A195" t="str">
        <f>HYPERLINK("./new_k5/query_cmdrels_weight_analyze/0.4_0.5_0.1/au_844876.xlsx","au_844876")</f>
        <v>au_844876</v>
      </c>
      <c r="B195">
        <v>0.5</v>
      </c>
      <c r="C195">
        <v>0.5</v>
      </c>
      <c r="D195">
        <v>0.5</v>
      </c>
      <c r="E195">
        <v>0.5</v>
      </c>
      <c r="F195">
        <v>0.5</v>
      </c>
      <c r="G195">
        <v>0.75</v>
      </c>
    </row>
    <row r="196" spans="1:7" x14ac:dyDescent="0.15">
      <c r="A196" t="str">
        <f>HYPERLINK("./new_k5/query_cmdrels_weight_analyze/0.4_0.5_0.1/au_85318.xlsx","au_85318")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0.4</v>
      </c>
    </row>
    <row r="197" spans="1:7" x14ac:dyDescent="0.15">
      <c r="A197" t="str">
        <f>HYPERLINK("./new_k5/query_cmdrels_weight_analyze/0.4_0.5_0.1/au_854332.xlsx","au_854332")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HYPERLINK("./new_k5/query_cmdrels_weight_analyze/0.4_0.5_0.1/au_854373.xlsx","au_854373")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HYPERLINK("./new_k5/query_cmdrels_weight_analyze/0.4_0.5_0.1/au_86843.xlsx","au_86843")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HYPERLINK("./new_k5/query_cmdrels_weight_analyze/0.4_0.5_0.1/au_88108.xlsx","au_88108")</f>
        <v>au_88108</v>
      </c>
      <c r="B200">
        <v>0</v>
      </c>
      <c r="C200">
        <v>0</v>
      </c>
      <c r="D200">
        <v>0.1</v>
      </c>
      <c r="E200">
        <v>0</v>
      </c>
      <c r="F200">
        <v>0.1</v>
      </c>
      <c r="G200">
        <v>0.04</v>
      </c>
    </row>
    <row r="201" spans="1:7" x14ac:dyDescent="0.15">
      <c r="A201" t="str">
        <f>HYPERLINK("./new_k5/query_cmdrels_weight_analyze/0.4_0.5_0.1/au_90214.xlsx","au_90214")</f>
        <v>au_90214</v>
      </c>
      <c r="B201">
        <v>0</v>
      </c>
      <c r="C201">
        <v>0</v>
      </c>
      <c r="D201">
        <v>0.16666666666666671</v>
      </c>
      <c r="E201">
        <v>0</v>
      </c>
      <c r="F201">
        <v>0.16666666666666671</v>
      </c>
      <c r="G201">
        <v>0.2166666666666667</v>
      </c>
    </row>
    <row r="202" spans="1:7" x14ac:dyDescent="0.15">
      <c r="A202" t="str">
        <f>HYPERLINK("./new_k5/query_cmdrels_weight_analyze/0.4_0.5_0.1/au_90339.xlsx","au_90339")</f>
        <v>au_90339</v>
      </c>
      <c r="B202">
        <v>0</v>
      </c>
      <c r="C202">
        <v>0.14285714285714279</v>
      </c>
      <c r="D202">
        <v>4.7619047619047623E-2</v>
      </c>
      <c r="E202">
        <v>0.2857142857142857</v>
      </c>
      <c r="F202">
        <v>0.2047619047619047</v>
      </c>
      <c r="G202">
        <v>0.50714285714285712</v>
      </c>
    </row>
    <row r="203" spans="1:7" x14ac:dyDescent="0.15">
      <c r="A203" t="str">
        <f>HYPERLINK("./new_k5/query_cmdrels_weight_analyze/0.4_0.5_0.1/au_91286.xlsx","au_91286")</f>
        <v>au_91286</v>
      </c>
      <c r="B203">
        <v>0.5</v>
      </c>
      <c r="C203">
        <v>0</v>
      </c>
      <c r="D203">
        <v>0.5</v>
      </c>
      <c r="E203">
        <v>0.16666666666666671</v>
      </c>
      <c r="F203">
        <v>0.5</v>
      </c>
      <c r="G203">
        <v>0.16666666666666671</v>
      </c>
    </row>
    <row r="204" spans="1:7" x14ac:dyDescent="0.15">
      <c r="A204" t="str">
        <f>HYPERLINK("./new_k5/query_cmdrels_weight_analyze/0.4_0.5_0.1/au_9135.xlsx","au_9135")</f>
        <v>au_9135</v>
      </c>
      <c r="B204">
        <v>0.1</v>
      </c>
      <c r="C204">
        <v>0</v>
      </c>
      <c r="D204">
        <v>0.16666666666666671</v>
      </c>
      <c r="E204">
        <v>0.1166666666666667</v>
      </c>
      <c r="F204">
        <v>0.24166666666666661</v>
      </c>
      <c r="G204">
        <v>0.19166666666666671</v>
      </c>
    </row>
    <row r="205" spans="1:7" x14ac:dyDescent="0.15">
      <c r="A205" t="str">
        <f>HYPERLINK("./new_k5/query_cmdrels_weight_analyze/0.4_0.5_0.1/au_935569.xlsx","au_935569")</f>
        <v>au_935569</v>
      </c>
      <c r="B205">
        <v>0.14285714285714279</v>
      </c>
      <c r="C205">
        <v>0</v>
      </c>
      <c r="D205">
        <v>0.42857142857142849</v>
      </c>
      <c r="E205">
        <v>0.16666666666666671</v>
      </c>
      <c r="F205">
        <v>0.54285714285714282</v>
      </c>
      <c r="G205">
        <v>0.16666666666666671</v>
      </c>
    </row>
    <row r="206" spans="1:7" x14ac:dyDescent="0.15">
      <c r="A206" t="str">
        <f>HYPERLINK("./new_k5/query_cmdrels_weight_analyze/0.4_0.5_0.1/au_97936.xlsx","au_97936")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HYPERLINK("./new_k5/query_cmdrels_weight_analyze/0.4_0.5_0.1/so_10235778.xlsx","so_10235778")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HYPERLINK("./new_k5/query_cmdrels_weight_analyze/0.4_0.5_0.1/so_1045910.xlsx","so_1045910")</f>
        <v>so_1045910</v>
      </c>
      <c r="B208">
        <v>0.25</v>
      </c>
      <c r="C208">
        <v>0</v>
      </c>
      <c r="D208">
        <v>0.25</v>
      </c>
      <c r="E208">
        <v>0.125</v>
      </c>
      <c r="F208">
        <v>0.25</v>
      </c>
      <c r="G208">
        <v>0.25</v>
      </c>
    </row>
    <row r="209" spans="1:7" x14ac:dyDescent="0.15">
      <c r="A209" t="str">
        <f>HYPERLINK("./new_k5/query_cmdrels_weight_analyze/0.4_0.5_0.1/so_10557360.xlsx","so_10557360")</f>
        <v>so_10557360</v>
      </c>
      <c r="B209">
        <v>0</v>
      </c>
      <c r="C209">
        <v>0</v>
      </c>
      <c r="D209">
        <v>0</v>
      </c>
      <c r="E209">
        <v>6.6666666666666666E-2</v>
      </c>
      <c r="F209">
        <v>0</v>
      </c>
      <c r="G209">
        <v>6.6666666666666666E-2</v>
      </c>
    </row>
    <row r="210" spans="1:7" x14ac:dyDescent="0.15">
      <c r="A210" t="str">
        <f>HYPERLINK("./new_k5/query_cmdrels_weight_analyze/0.4_0.5_0.1/so_1058047.xlsx","so_1058047")</f>
        <v>so_1058047</v>
      </c>
      <c r="B210">
        <v>0.25</v>
      </c>
      <c r="C210">
        <v>0.25</v>
      </c>
      <c r="D210">
        <v>0.25</v>
      </c>
      <c r="E210">
        <v>0.41666666666666657</v>
      </c>
      <c r="F210">
        <v>0.25</v>
      </c>
      <c r="G210">
        <v>0.41666666666666657</v>
      </c>
    </row>
    <row r="211" spans="1:7" x14ac:dyDescent="0.15">
      <c r="A211" t="str">
        <f>HYPERLINK("./new_k5/query_cmdrels_weight_analyze/0.4_0.5_0.1/so_10829402.xlsx","so_10829402")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HYPERLINK("./new_k5/query_cmdrels_weight_analyze/0.4_0.5_0.1/so_1088098.xlsx","so_1088098")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0.25</v>
      </c>
    </row>
    <row r="213" spans="1:7" x14ac:dyDescent="0.15">
      <c r="A213" t="str">
        <f>HYPERLINK("./new_k5/query_cmdrels_weight_analyze/0.4_0.5_0.1/so_10990949.xlsx","so_10990949")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0.5</v>
      </c>
    </row>
    <row r="214" spans="1:7" x14ac:dyDescent="0.15">
      <c r="A214" t="str">
        <f>HYPERLINK("./new_k5/query_cmdrels_weight_analyze/0.4_0.5_0.1/so_11211705.xlsx","so_11211705")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HYPERLINK("./new_k5/query_cmdrels_weight_analyze/0.4_0.5_0.1/so_112932.xlsx","so_112932")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HYPERLINK("./new_k5/query_cmdrels_weight_analyze/0.4_0.5_0.1/so_11392189.xlsx","so_11392189")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8.3333333333333329E-2</v>
      </c>
    </row>
    <row r="217" spans="1:7" x14ac:dyDescent="0.15">
      <c r="A217" t="str">
        <f>HYPERLINK("./new_k5/query_cmdrels_weight_analyze/0.4_0.5_0.1/so_1183183.xlsx","so_1183183")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</v>
      </c>
    </row>
    <row r="218" spans="1:7" x14ac:dyDescent="0.15">
      <c r="A218" t="str">
        <f>HYPERLINK("./new_k5/query_cmdrels_weight_analyze/0.4_0.5_0.1/so_1194882.xlsx","so_1194882")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HYPERLINK("./new_k5/query_cmdrels_weight_analyze/0.4_0.5_0.1/so_12120935.xlsx","so_12120935")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HYPERLINK("./new_k5/query_cmdrels_weight_analyze/0.4_0.5_0.1/so_12313384.xlsx","so_12313384")</f>
        <v>so_12313384</v>
      </c>
      <c r="B220">
        <v>0</v>
      </c>
      <c r="C220">
        <v>0.33333333333333331</v>
      </c>
      <c r="D220">
        <v>0.16666666666666671</v>
      </c>
      <c r="E220">
        <v>0.66666666666666663</v>
      </c>
      <c r="F220">
        <v>0.16666666666666671</v>
      </c>
      <c r="G220">
        <v>0.66666666666666663</v>
      </c>
    </row>
    <row r="221" spans="1:7" x14ac:dyDescent="0.15">
      <c r="A221" t="str">
        <f>HYPERLINK("./new_k5/query_cmdrels_weight_analyze/0.4_0.5_0.1/so_12392598.xlsx","so_12392598")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HYPERLINK("./new_k5/query_cmdrels_weight_analyze/0.4_0.5_0.1/so_1241801.xlsx","so_1241801")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HYPERLINK("./new_k5/query_cmdrels_weight_analyze/0.4_0.5_0.1/so_12522269.xlsx","so_12522269")</f>
        <v>so_12522269</v>
      </c>
      <c r="B223">
        <v>0.2</v>
      </c>
      <c r="C223">
        <v>0.2</v>
      </c>
      <c r="D223">
        <v>0.2</v>
      </c>
      <c r="E223">
        <v>0.2</v>
      </c>
      <c r="F223">
        <v>0.28000000000000003</v>
      </c>
      <c r="G223">
        <v>0.2</v>
      </c>
    </row>
    <row r="224" spans="1:7" x14ac:dyDescent="0.15">
      <c r="A224" t="str">
        <f>HYPERLINK("./new_k5/query_cmdrels_weight_analyze/0.4_0.5_0.1/so_1293907.xlsx","so_1293907")</f>
        <v>so_1293907</v>
      </c>
      <c r="B224">
        <v>0</v>
      </c>
      <c r="C224">
        <v>0.33333333333333331</v>
      </c>
      <c r="D224">
        <v>0</v>
      </c>
      <c r="E224">
        <v>0.66666666666666663</v>
      </c>
      <c r="F224">
        <v>8.3333333333333329E-2</v>
      </c>
      <c r="G224">
        <v>0.91666666666666663</v>
      </c>
    </row>
    <row r="225" spans="1:7" x14ac:dyDescent="0.15">
      <c r="A225" t="str">
        <f>HYPERLINK("./new_k5/query_cmdrels_weight_analyze/0.4_0.5_0.1/so_13428910.xlsx","so_13428910")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HYPERLINK("./new_k5/query_cmdrels_weight_analyze/0.4_0.5_0.1/so_135688.xlsx","so_135688")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HYPERLINK("./new_k5/query_cmdrels_weight_analyze/0.4_0.5_0.1/so_13778273.xlsx","so_13778273")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HYPERLINK("./new_k5/query_cmdrels_weight_analyze/0.4_0.5_0.1/so_1405611.xlsx","so_1405611")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0.16666666666666671</v>
      </c>
      <c r="F228">
        <v>0.33333333333333331</v>
      </c>
      <c r="G228">
        <v>0.16666666666666671</v>
      </c>
    </row>
    <row r="229" spans="1:7" x14ac:dyDescent="0.15">
      <c r="A229" t="str">
        <f>HYPERLINK("./new_k5/query_cmdrels_weight_analyze/0.4_0.5_0.1/so_14300794.xlsx","so_14300794")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HYPERLINK("./new_k5/query_cmdrels_weight_analyze/0.4_0.5_0.1/so_143791.xlsx","so_143791")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HYPERLINK("./new_k5/query_cmdrels_weight_analyze/0.4_0.5_0.1/so_14750650.xlsx","so_14750650")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6.25E-2</v>
      </c>
    </row>
    <row r="232" spans="1:7" x14ac:dyDescent="0.15">
      <c r="A232" t="str">
        <f>HYPERLINK("./new_k5/query_cmdrels_weight_analyze/0.4_0.5_0.1/so_14978411.xlsx","so_14978411")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HYPERLINK("./new_k5/query_cmdrels_weight_analyze/0.4_0.5_0.1/so_15236308.xlsx","so_15236308")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HYPERLINK("./new_k5/query_cmdrels_weight_analyze/0.4_0.5_0.1/so_15286947.xlsx","so_15286947")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HYPERLINK("./new_k5/query_cmdrels_weight_analyze/0.4_0.5_0.1/so_15402770.xlsx","so_15402770")</f>
        <v>so_15402770</v>
      </c>
      <c r="B235">
        <v>0</v>
      </c>
      <c r="C235">
        <v>0.16666666666666671</v>
      </c>
      <c r="D235">
        <v>0.19444444444444439</v>
      </c>
      <c r="E235">
        <v>0.5</v>
      </c>
      <c r="F235">
        <v>0.19444444444444439</v>
      </c>
      <c r="G235">
        <v>0.66666666666666663</v>
      </c>
    </row>
    <row r="236" spans="1:7" x14ac:dyDescent="0.15">
      <c r="A236" t="str">
        <f>HYPERLINK("./new_k5/query_cmdrels_weight_analyze/0.4_0.5_0.1/so_1570262.xlsx","so_1570262")</f>
        <v>so_1570262</v>
      </c>
      <c r="B236">
        <v>0</v>
      </c>
      <c r="C236">
        <v>0</v>
      </c>
      <c r="D236">
        <v>0</v>
      </c>
      <c r="E236">
        <v>6.6666666666666666E-2</v>
      </c>
      <c r="F236">
        <v>0</v>
      </c>
      <c r="G236">
        <v>0.16666666666666671</v>
      </c>
    </row>
    <row r="237" spans="1:7" x14ac:dyDescent="0.15">
      <c r="A237" t="str">
        <f>HYPERLINK("./new_k5/query_cmdrels_weight_analyze/0.4_0.5_0.1/so_1583219.xlsx","so_1583219")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HYPERLINK("./new_k5/query_cmdrels_weight_analyze/0.4_0.5_0.1/so_15872543.xlsx","so_15872543")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HYPERLINK("./new_k5/query_cmdrels_weight_analyze/0.4_0.5_0.1/so_16038087.xlsx","so_16038087")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0.5714285714285714</v>
      </c>
    </row>
    <row r="240" spans="1:7" x14ac:dyDescent="0.15">
      <c r="A240" t="str">
        <f>HYPERLINK("./new_k5/query_cmdrels_weight_analyze/0.4_0.5_0.1/so_16212656.xlsx","so_16212656")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HYPERLINK("./new_k5/query_cmdrels_weight_analyze/0.4_0.5_0.1/so_16575419.xlsx","so_16575419")</f>
        <v>so_16575419</v>
      </c>
      <c r="B241">
        <v>0.25</v>
      </c>
      <c r="C241">
        <v>0.25</v>
      </c>
      <c r="D241">
        <v>0.25</v>
      </c>
      <c r="E241">
        <v>0.75</v>
      </c>
      <c r="F241">
        <v>0.25</v>
      </c>
      <c r="G241">
        <v>0.75</v>
      </c>
    </row>
    <row r="242" spans="1:7" x14ac:dyDescent="0.15">
      <c r="A242" t="str">
        <f>HYPERLINK("./new_k5/query_cmdrels_weight_analyze/0.4_0.5_0.1/so_17582768.xlsx","so_17582768")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8.3333333333333329E-2</v>
      </c>
    </row>
    <row r="243" spans="1:7" x14ac:dyDescent="0.15">
      <c r="A243" t="str">
        <f>HYPERLINK("./new_k5/query_cmdrels_weight_analyze/0.4_0.5_0.1/so_17607612.xlsx","so_17607612")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HYPERLINK("./new_k5/query_cmdrels_weight_analyze/0.4_0.5_0.1/so_17829785.xlsx","so_17829785")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HYPERLINK("./new_k5/query_cmdrels_weight_analyze/0.4_0.5_0.1/so_1839841.xlsx","so_1839841")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HYPERLINK("./new_k5/query_cmdrels_weight_analyze/0.4_0.5_0.1/so_18468716.xlsx","so_18468716")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0.46666666666666662</v>
      </c>
    </row>
    <row r="247" spans="1:7" x14ac:dyDescent="0.15">
      <c r="A247" t="str">
        <f>HYPERLINK("./new_k5/query_cmdrels_weight_analyze/0.4_0.5_0.1/so_19196105.xlsx","so_19196105")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HYPERLINK("./new_k5/query_cmdrels_weight_analyze/0.4_0.5_0.1/so_19482123.xlsx","so_19482123")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HYPERLINK("./new_k5/query_cmdrels_weight_analyze/0.4_0.5_0.1/so_1975849.xlsx","so_1975849")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HYPERLINK("./new_k5/query_cmdrels_weight_analyze/0.4_0.5_0.1/so_212528.xlsx","so_212528")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0.43333333333333329</v>
      </c>
    </row>
    <row r="251" spans="1:7" x14ac:dyDescent="0.15">
      <c r="A251" t="str">
        <f>HYPERLINK("./new_k5/query_cmdrels_weight_analyze/0.4_0.5_0.1/so_21620406.xlsx","so_21620406")</f>
        <v>so_21620406</v>
      </c>
      <c r="B251">
        <v>0</v>
      </c>
      <c r="C251">
        <v>0</v>
      </c>
      <c r="D251">
        <v>0.1111111111111111</v>
      </c>
      <c r="E251">
        <v>0</v>
      </c>
      <c r="F251">
        <v>0.1111111111111111</v>
      </c>
      <c r="G251">
        <v>8.3333333333333329E-2</v>
      </c>
    </row>
    <row r="252" spans="1:7" x14ac:dyDescent="0.15">
      <c r="A252" t="str">
        <f>HYPERLINK("./new_k5/query_cmdrels_weight_analyze/0.4_0.5_0.1/so_23509348.xlsx","so_23509348")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HYPERLINK("./new_k5/query_cmdrels_weight_analyze/0.4_0.5_0.1/so_24058544.xlsx","so_24058544")</f>
        <v>so_24058544</v>
      </c>
      <c r="B253">
        <v>0.2</v>
      </c>
      <c r="C253">
        <v>0.2</v>
      </c>
      <c r="D253">
        <v>0.2</v>
      </c>
      <c r="E253">
        <v>0.33333333333333331</v>
      </c>
      <c r="F253">
        <v>0.2</v>
      </c>
      <c r="G253">
        <v>0.33333333333333331</v>
      </c>
    </row>
    <row r="254" spans="1:7" x14ac:dyDescent="0.15">
      <c r="A254" t="str">
        <f>HYPERLINK("./new_k5/query_cmdrels_weight_analyze/0.4_0.5_0.1/so_24283097.xlsx","so_24283097")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HYPERLINK("./new_k5/query_cmdrels_weight_analyze/0.4_0.5_0.1/so_26256279.xlsx","so_26256279")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HYPERLINK("./new_k5/query_cmdrels_weight_analyze/0.4_0.5_0.1/so_26331651.xlsx","so_26331651")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HYPERLINK("./new_k5/query_cmdrels_weight_analyze/0.4_0.5_0.1/so_26988262.xlsx","so_26988262")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HYPERLINK("./new_k5/query_cmdrels_weight_analyze/0.4_0.5_0.1/so_27238411.xlsx","so_27238411")</f>
        <v>so_27238411</v>
      </c>
      <c r="B258">
        <v>0.2</v>
      </c>
      <c r="C258">
        <v>0.2</v>
      </c>
      <c r="D258">
        <v>0.6</v>
      </c>
      <c r="E258">
        <v>0.6</v>
      </c>
      <c r="F258">
        <v>0.6</v>
      </c>
      <c r="G258">
        <v>0.6</v>
      </c>
    </row>
    <row r="259" spans="1:7" x14ac:dyDescent="0.15">
      <c r="A259" t="str">
        <f>HYPERLINK("./new_k5/query_cmdrels_weight_analyze/0.4_0.5_0.1/so_27943059.xlsx","so_27943059")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0.33333333333333331</v>
      </c>
      <c r="F259">
        <v>0.16666666666666671</v>
      </c>
      <c r="G259">
        <v>0.5</v>
      </c>
    </row>
    <row r="260" spans="1:7" x14ac:dyDescent="0.15">
      <c r="A260" t="str">
        <f>HYPERLINK("./new_k5/query_cmdrels_weight_analyze/0.4_0.5_0.1/so_28869004.xlsx","so_28869004")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HYPERLINK("./new_k5/query_cmdrels_weight_analyze/0.4_0.5_0.1/so_2973624.xlsx","so_2973624")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0.55555555555555547</v>
      </c>
      <c r="F261">
        <v>0.66666666666666663</v>
      </c>
      <c r="G261">
        <v>0.55555555555555547</v>
      </c>
    </row>
    <row r="262" spans="1:7" x14ac:dyDescent="0.15">
      <c r="A262" t="str">
        <f>HYPERLINK("./new_k5/query_cmdrels_weight_analyze/0.4_0.5_0.1/so_30177455.xlsx","so_30177455")</f>
        <v>so_30177455</v>
      </c>
      <c r="B262">
        <v>0</v>
      </c>
      <c r="C262">
        <v>0</v>
      </c>
      <c r="D262">
        <v>0.16666666666666671</v>
      </c>
      <c r="E262">
        <v>0.1111111111111111</v>
      </c>
      <c r="F262">
        <v>0.16666666666666671</v>
      </c>
      <c r="G262">
        <v>0.1111111111111111</v>
      </c>
    </row>
    <row r="263" spans="1:7" x14ac:dyDescent="0.15">
      <c r="A263" t="str">
        <f>HYPERLINK("./new_k5/query_cmdrels_weight_analyze/0.4_0.5_0.1/so_30251889.xlsx","so_30251889")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0.47916666666666657</v>
      </c>
    </row>
    <row r="264" spans="1:7" x14ac:dyDescent="0.15">
      <c r="A264" t="str">
        <f>HYPERLINK("./new_k5/query_cmdrels_weight_analyze/0.4_0.5_0.1/so_305035.xlsx","so_305035")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HYPERLINK("./new_k5/query_cmdrels_weight_analyze/0.4_0.5_0.1/so_36249744.xlsx","so_36249744")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HYPERLINK("./new_k5/query_cmdrels_weight_analyze/0.4_0.5_0.1/so_3643848.xlsx","so_3643848")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HYPERLINK("./new_k5/query_cmdrels_weight_analyze/0.4_0.5_0.1/so_3667329.xlsx","so_3667329")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HYPERLINK("./new_k5/query_cmdrels_weight_analyze/0.4_0.5_0.1/so_369758.xlsx","so_369758")</f>
        <v>so_369758</v>
      </c>
      <c r="B268">
        <v>0.2</v>
      </c>
      <c r="C268">
        <v>0.2</v>
      </c>
      <c r="D268">
        <v>0.4</v>
      </c>
      <c r="E268">
        <v>0.33333333333333331</v>
      </c>
      <c r="F268">
        <v>0.4</v>
      </c>
      <c r="G268">
        <v>0.48333333333333328</v>
      </c>
    </row>
    <row r="269" spans="1:7" x14ac:dyDescent="0.15">
      <c r="A269" t="str">
        <f>HYPERLINK("./new_k5/query_cmdrels_weight_analyze/0.4_0.5_0.1/so_3756323.xlsx","so_3756323")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0.75</v>
      </c>
    </row>
    <row r="270" spans="1:7" x14ac:dyDescent="0.15">
      <c r="A270" t="str">
        <f>HYPERLINK("./new_k5/query_cmdrels_weight_analyze/0.4_0.5_0.1/so_3767267.xlsx","so_3767267")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HYPERLINK("./new_k5/query_cmdrels_weight_analyze/0.4_0.5_0.1/so_3833578.xlsx","so_3833578")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HYPERLINK("./new_k5/query_cmdrels_weight_analyze/0.4_0.5_0.1/so_3891076.xlsx","so_3891076")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0.52500000000000002</v>
      </c>
    </row>
    <row r="273" spans="1:7" x14ac:dyDescent="0.15">
      <c r="A273" t="str">
        <f>HYPERLINK("./new_k5/query_cmdrels_weight_analyze/0.4_0.5_0.1/so_3963085.xlsx","so_3963085")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HYPERLINK("./new_k5/query_cmdrels_weight_analyze/0.4_0.5_0.1/so_4325216.xlsx","so_4325216")</f>
        <v>so_4325216</v>
      </c>
      <c r="B274">
        <v>0.5</v>
      </c>
      <c r="C274">
        <v>0.5</v>
      </c>
      <c r="D274">
        <v>0.5</v>
      </c>
      <c r="E274">
        <v>0.83333333333333326</v>
      </c>
      <c r="F274">
        <v>0.5</v>
      </c>
      <c r="G274">
        <v>0.83333333333333326</v>
      </c>
    </row>
    <row r="275" spans="1:7" x14ac:dyDescent="0.15">
      <c r="A275" t="str">
        <f>HYPERLINK("./new_k5/query_cmdrels_weight_analyze/0.4_0.5_0.1/so_448005.xlsx","so_448005")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HYPERLINK("./new_k5/query_cmdrels_weight_analyze/0.4_0.5_0.1/so_4921879.xlsx","so_4921879")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HYPERLINK("./new_k5/query_cmdrels_weight_analyze/0.4_0.5_0.1/so_4922943.xlsx","so_4922943")</f>
        <v>so_4922943</v>
      </c>
      <c r="B277">
        <v>0.2</v>
      </c>
      <c r="C277">
        <v>0.2</v>
      </c>
      <c r="D277">
        <v>0.33333333333333331</v>
      </c>
      <c r="E277">
        <v>0.33333333333333331</v>
      </c>
      <c r="F277">
        <v>0.33333333333333331</v>
      </c>
      <c r="G277">
        <v>0.33333333333333331</v>
      </c>
    </row>
    <row r="278" spans="1:7" x14ac:dyDescent="0.15">
      <c r="A278" t="str">
        <f>HYPERLINK("./new_k5/query_cmdrels_weight_analyze/0.4_0.5_0.1/so_5119946.xlsx","so_5119946")</f>
        <v>so_5119946</v>
      </c>
      <c r="B278">
        <v>0.5</v>
      </c>
      <c r="C278">
        <v>0</v>
      </c>
      <c r="D278">
        <v>0.5</v>
      </c>
      <c r="E278">
        <v>0</v>
      </c>
      <c r="F278">
        <v>0.5</v>
      </c>
      <c r="G278">
        <v>0</v>
      </c>
    </row>
    <row r="279" spans="1:7" x14ac:dyDescent="0.15">
      <c r="A279" t="str">
        <f>HYPERLINK("./new_k5/query_cmdrels_weight_analyze/0.4_0.5_0.1/so_5164985.xlsx","so_5164985")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HYPERLINK("./new_k5/query_cmdrels_weight_analyze/0.4_0.5_0.1/so_5306153.xlsx","so_5306153")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HYPERLINK("./new_k5/query_cmdrels_weight_analyze/0.4_0.5_0.1/so_5566310.xlsx","so_5566310")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HYPERLINK("./new_k5/query_cmdrels_weight_analyze/0.4_0.5_0.1/so_5927369.xlsx","so_5927369")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HYPERLINK("./new_k5/query_cmdrels_weight_analyze/0.4_0.5_0.1/so_5947742.xlsx","so_5947742")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HYPERLINK("./new_k5/query_cmdrels_weight_analyze/0.4_0.5_0.1/so_614795.xlsx","so_614795")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HYPERLINK("./new_k5/query_cmdrels_weight_analyze/0.4_0.5_0.1/so_6207573.xlsx","so_6207573")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0.2857142857142857</v>
      </c>
      <c r="F285">
        <v>0.37142857142857139</v>
      </c>
      <c r="G285">
        <v>0.39285714285714279</v>
      </c>
    </row>
    <row r="286" spans="1:7" x14ac:dyDescent="0.15">
      <c r="A286" t="str">
        <f>HYPERLINK("./new_k5/query_cmdrels_weight_analyze/0.4_0.5_0.1/so_6283167.xlsx","so_6283167")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HYPERLINK("./new_k5/query_cmdrels_weight_analyze/0.4_0.5_0.1/so_6329505.xlsx","so_6329505")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HYPERLINK("./new_k5/query_cmdrels_weight_analyze/0.4_0.5_0.1/so_6423532.xlsx","so_6423532")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HYPERLINK("./new_k5/query_cmdrels_weight_analyze/0.4_0.5_0.1/so_669438.xlsx","so_669438")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0.33333333333333331</v>
      </c>
    </row>
    <row r="290" spans="1:7" x14ac:dyDescent="0.15">
      <c r="A290" t="str">
        <f>HYPERLINK("./new_k5/query_cmdrels_weight_analyze/0.4_0.5_0.1/so_7052875.xlsx","so_7052875")</f>
        <v>so_7052875</v>
      </c>
      <c r="B290">
        <v>0.2</v>
      </c>
      <c r="C290">
        <v>0</v>
      </c>
      <c r="D290">
        <v>0.2</v>
      </c>
      <c r="E290">
        <v>0.1</v>
      </c>
      <c r="F290">
        <v>0.2</v>
      </c>
      <c r="G290">
        <v>0.18</v>
      </c>
    </row>
    <row r="291" spans="1:7" x14ac:dyDescent="0.15">
      <c r="A291" t="str">
        <f>HYPERLINK("./new_k5/query_cmdrels_weight_analyze/0.4_0.5_0.1/so_7221757.xlsx","so_7221757")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HYPERLINK("./new_k5/query_cmdrels_weight_analyze/0.4_0.5_0.1/so_750604.xlsx","so_750604")</f>
        <v>so_750604</v>
      </c>
      <c r="B292">
        <v>0</v>
      </c>
      <c r="C292">
        <v>0</v>
      </c>
      <c r="D292">
        <v>0.1111111111111111</v>
      </c>
      <c r="E292">
        <v>0.16666666666666671</v>
      </c>
      <c r="F292">
        <v>0.1111111111111111</v>
      </c>
      <c r="G292">
        <v>0.33333333333333331</v>
      </c>
    </row>
    <row r="293" spans="1:7" x14ac:dyDescent="0.15">
      <c r="A293" t="str">
        <f>HYPERLINK("./new_k5/query_cmdrels_weight_analyze/0.4_0.5_0.1/so_7575267.xlsx","so_7575267")</f>
        <v>so_7575267</v>
      </c>
      <c r="B293">
        <v>0</v>
      </c>
      <c r="C293">
        <v>0.25</v>
      </c>
      <c r="D293">
        <v>0</v>
      </c>
      <c r="E293">
        <v>0.75</v>
      </c>
      <c r="F293">
        <v>0</v>
      </c>
      <c r="G293">
        <v>0.75</v>
      </c>
    </row>
    <row r="294" spans="1:7" x14ac:dyDescent="0.15">
      <c r="A294" t="str">
        <f>HYPERLINK("./new_k5/query_cmdrels_weight_analyze/0.4_0.5_0.1/so_7698488.xlsx","so_7698488")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0.16250000000000001</v>
      </c>
    </row>
    <row r="295" spans="1:7" x14ac:dyDescent="0.15">
      <c r="A295" t="str">
        <f>HYPERLINK("./new_k5/query_cmdrels_weight_analyze/0.4_0.5_0.1/so_801095.xlsx","so_801095")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0.33333333333333331</v>
      </c>
      <c r="F295">
        <v>0.33333333333333331</v>
      </c>
      <c r="G295">
        <v>0.5</v>
      </c>
    </row>
    <row r="296" spans="1:7" x14ac:dyDescent="0.15">
      <c r="A296" t="str">
        <f>HYPERLINK("./new_k5/query_cmdrels_weight_analyze/0.4_0.5_0.1/so_8249705.xlsx","so_8249705")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HYPERLINK("./new_k5/query_cmdrels_weight_analyze/0.4_0.5_0.1/so_8423541.xlsx","so_8423541")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HYPERLINK("./new_k5/query_cmdrels_weight_analyze/0.4_0.5_0.1/so_8654051.xlsx","so_8654051")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HYPERLINK("./new_k5/query_cmdrels_weight_analyze/0.4_0.5_0.1/so_890262.xlsx","so_890262")</f>
        <v>so_890262</v>
      </c>
      <c r="B299">
        <v>0</v>
      </c>
      <c r="C299">
        <v>0</v>
      </c>
      <c r="D299">
        <v>0</v>
      </c>
      <c r="E299">
        <v>0.1111111111111111</v>
      </c>
      <c r="F299">
        <v>0</v>
      </c>
      <c r="G299">
        <v>0.27777777777777768</v>
      </c>
    </row>
    <row r="300" spans="1:7" x14ac:dyDescent="0.15">
      <c r="A300" t="str">
        <f>HYPERLINK("./new_k5/query_cmdrels_weight_analyze/0.4_0.5_0.1/so_893585.xlsx","so_893585")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HYPERLINK("./new_k5/query_cmdrels_weight_analyze/0.4_0.5_0.1/so_9223460.xlsx","so_9223460")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HYPERLINK("./new_k5/query_cmdrels_weight_analyze/0.4_0.5_0.1/so_9245638.xlsx","so_9245638")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HYPERLINK("./new_k5/query_cmdrels_weight_analyze/0.4_0.5_0.1/so_9304953.xlsx","so_9304953")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0.6</v>
      </c>
    </row>
    <row r="304" spans="1:7" x14ac:dyDescent="0.15">
      <c r="A304" t="str">
        <f>HYPERLINK("./new_k5/query_cmdrels_weight_analyze/0.4_0.5_0.1/so_9361816.xlsx","so_9361816")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HYPERLINK("./new_k5/query_cmdrels_weight_analyze/0.4_0.5_0.1/su_116617.xlsx","su_116617")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HYPERLINK("./new_k5/query_cmdrels_weight_analyze/0.4_0.5_0.1/su_120045.xlsx","su_120045")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HYPERLINK("./new_k5/query_cmdrels_weight_analyze/0.4_0.5_0.1/su_127863.xlsx","su_127863")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HYPERLINK("./new_k5/query_cmdrels_weight_analyze/0.4_0.5_0.1/su_135498.xlsx","su_135498")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HYPERLINK("./new_k5/query_cmdrels_weight_analyze/0.4_0.5_0.1/su_147027.xlsx","su_147027")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HYPERLINK("./new_k5/query_cmdrels_weight_analyze/0.4_0.5_0.1/su_151911.xlsx","su_151911")</f>
        <v>su_151911</v>
      </c>
      <c r="B310">
        <v>0</v>
      </c>
      <c r="C310">
        <v>0</v>
      </c>
      <c r="D310">
        <v>0</v>
      </c>
      <c r="E310">
        <v>8.3333333333333329E-2</v>
      </c>
      <c r="F310">
        <v>0</v>
      </c>
      <c r="G310">
        <v>8.3333333333333329E-2</v>
      </c>
    </row>
    <row r="311" spans="1:7" x14ac:dyDescent="0.15">
      <c r="A311" t="str">
        <f>HYPERLINK("./new_k5/query_cmdrels_weight_analyze/0.4_0.5_0.1/su_153415.xlsx","su_153415")</f>
        <v>su_153415</v>
      </c>
      <c r="B311">
        <v>0.5</v>
      </c>
      <c r="C311">
        <v>0</v>
      </c>
      <c r="D311">
        <v>0.5</v>
      </c>
      <c r="E311">
        <v>0.25</v>
      </c>
      <c r="F311">
        <v>0.5</v>
      </c>
      <c r="G311">
        <v>0.25</v>
      </c>
    </row>
    <row r="312" spans="1:7" x14ac:dyDescent="0.15">
      <c r="A312" t="str">
        <f>HYPERLINK("./new_k5/query_cmdrels_weight_analyze/0.4_0.5_0.1/su_156189.xlsx","su_156189")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0.27777777777777768</v>
      </c>
    </row>
    <row r="313" spans="1:7" x14ac:dyDescent="0.15">
      <c r="A313" t="str">
        <f>HYPERLINK("./new_k5/query_cmdrels_weight_analyze/0.4_0.5_0.1/su_161531.xlsx","su_161531")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HYPERLINK("./new_k5/query_cmdrels_weight_analyze/0.4_0.5_0.1/su_204209.xlsx","su_204209")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HYPERLINK("./new_k5/query_cmdrels_weight_analyze/0.4_0.5_0.1/su_214390.xlsx","su_214390")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HYPERLINK("./new_k5/query_cmdrels_weight_analyze/0.4_0.5_0.1/su_215483.xlsx","su_215483")</f>
        <v>su_215483</v>
      </c>
      <c r="B316">
        <v>0.5</v>
      </c>
      <c r="C316">
        <v>0.5</v>
      </c>
      <c r="D316">
        <v>1</v>
      </c>
      <c r="E316">
        <v>0.5</v>
      </c>
      <c r="F316">
        <v>1</v>
      </c>
      <c r="G316">
        <v>0.5</v>
      </c>
    </row>
    <row r="317" spans="1:7" x14ac:dyDescent="0.15">
      <c r="A317" t="str">
        <f>HYPERLINK("./new_k5/query_cmdrels_weight_analyze/0.4_0.5_0.1/su_215504.xlsx","su_215504")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0.47916666666666657</v>
      </c>
    </row>
    <row r="318" spans="1:7" x14ac:dyDescent="0.15">
      <c r="A318" t="str">
        <f>HYPERLINK("./new_k5/query_cmdrels_weight_analyze/0.4_0.5_0.1/su_227385.xlsx","su_227385")</f>
        <v>su_227385</v>
      </c>
      <c r="B318">
        <v>0</v>
      </c>
      <c r="C318">
        <v>0</v>
      </c>
      <c r="D318">
        <v>0</v>
      </c>
      <c r="E318">
        <v>0.29166666666666657</v>
      </c>
      <c r="F318">
        <v>0</v>
      </c>
      <c r="G318">
        <v>0.6791666666666667</v>
      </c>
    </row>
    <row r="319" spans="1:7" x14ac:dyDescent="0.15">
      <c r="A319" t="str">
        <f>HYPERLINK("./new_k5/query_cmdrels_weight_analyze/0.4_0.5_0.1/su_273254.xlsx","su_273254")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HYPERLINK("./new_k5/query_cmdrels_weight_analyze/0.4_0.5_0.1/su_294161.xlsx","su_294161")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HYPERLINK("./new_k5/query_cmdrels_weight_analyze/0.4_0.5_0.1/su_302396.xlsx","su_302396")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HYPERLINK("./new_k5/query_cmdrels_weight_analyze/0.4_0.5_0.1/su_303981.xlsx","su_303981")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HYPERLINK("./new_k5/query_cmdrels_weight_analyze/0.4_0.5_0.1/su_305128.xlsx","su_305128")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HYPERLINK("./new_k5/query_cmdrels_weight_analyze/0.4_0.5_0.1/su_31512.xlsx","su_31512")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HYPERLINK("./new_k5/query_cmdrels_weight_analyze/0.4_0.5_0.1/su_380520.xlsx","su_380520")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0.33333333333333331</v>
      </c>
    </row>
    <row r="326" spans="1:7" x14ac:dyDescent="0.15">
      <c r="A326" t="str">
        <f>HYPERLINK("./new_k5/query_cmdrels_weight_analyze/0.4_0.5_0.1/su_38981.xlsx","su_38981")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HYPERLINK("./new_k5/query_cmdrels_weight_analyze/0.4_0.5_0.1/su_437330.xlsx","su_437330")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HYPERLINK("./new_k5/query_cmdrels_weight_analyze/0.4_0.5_0.1/su_441379.xlsx","su_441379")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HYPERLINK("./new_k5/query_cmdrels_weight_analyze/0.4_0.5_0.1/su_462788.xlsx","su_462788")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0.33333333333333331</v>
      </c>
      <c r="F329">
        <v>0.30555555555555558</v>
      </c>
      <c r="G329">
        <v>0.42222222222222222</v>
      </c>
    </row>
    <row r="330" spans="1:7" x14ac:dyDescent="0.15">
      <c r="A330" t="str">
        <f>HYPERLINK("./new_k5/query_cmdrels_weight_analyze/0.4_0.5_0.1/su_626606.xlsx","su_626606")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0.5</v>
      </c>
    </row>
    <row r="331" spans="1:7" x14ac:dyDescent="0.15">
      <c r="A331" t="str">
        <f>HYPERLINK("./new_k5/query_cmdrels_weight_analyze/0.4_0.5_0.1/su_634469.xlsx","su_634469")</f>
        <v>su_634469</v>
      </c>
      <c r="B331">
        <v>0</v>
      </c>
      <c r="C331">
        <v>0.16666666666666671</v>
      </c>
      <c r="D331">
        <v>0</v>
      </c>
      <c r="E331">
        <v>0.27777777777777768</v>
      </c>
      <c r="F331">
        <v>0</v>
      </c>
      <c r="G331">
        <v>0.37777777777777782</v>
      </c>
    </row>
    <row r="332" spans="1:7" x14ac:dyDescent="0.15">
      <c r="A332" t="str">
        <f>HYPERLINK("./new_k5/query_cmdrels_weight_analyze/0.4_0.5_0.1/su_638616.xlsx","su_638616")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HYPERLINK("./new_k5/query_cmdrels_weight_analyze/0.4_0.5_0.1/su_678113.xlsx","su_678113")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HYPERLINK("./new_k5/query_cmdrels_weight_analyze/0.4_0.5_0.1/su_686394.xlsx","su_686394")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HYPERLINK("./new_k5/query_cmdrels_weight_analyze/0.4_0.5_0.1/su_716795.xlsx","su_716795")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0.125</v>
      </c>
    </row>
    <row r="336" spans="1:7" x14ac:dyDescent="0.15">
      <c r="A336" t="str">
        <f>HYPERLINK("./new_k5/query_cmdrels_weight_analyze/0.4_0.5_0.1/su_758463.xlsx","su_758463")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HYPERLINK("./new_k5/query_cmdrels_weight_analyze/0.4_0.5_0.1/su_766437.xlsx","su_766437")</f>
        <v>su_766437</v>
      </c>
      <c r="B337">
        <v>0</v>
      </c>
      <c r="C337">
        <v>0</v>
      </c>
      <c r="D337">
        <v>0</v>
      </c>
      <c r="E337">
        <v>0.23333333333333331</v>
      </c>
      <c r="F337">
        <v>0.05</v>
      </c>
      <c r="G337">
        <v>0.35333333333333328</v>
      </c>
    </row>
    <row r="338" spans="1:7" x14ac:dyDescent="0.15">
      <c r="A338" t="str">
        <f>HYPERLINK("./new_k5/query_cmdrels_weight_analyze/0.4_0.5_0.1/su_904001.xlsx","su_904001")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HYPERLINK("./new_k5/query_cmdrels_weight_analyze/0.4_0.5_0.1/ul_100959.xlsx","ul_100959")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HYPERLINK("./new_k5/query_cmdrels_weight_analyze/0.4_0.5_0.1/ul_101073.xlsx","ul_101073")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HYPERLINK("./new_k5/query_cmdrels_weight_analyze/0.4_0.5_0.1/ul_101237.xlsx","ul_101237")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HYPERLINK("./new_k5/query_cmdrels_weight_analyze/0.4_0.5_0.1/ul_102752.xlsx","ul_102752")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HYPERLINK("./new_k5/query_cmdrels_weight_analyze/0.4_0.5_0.1/ul_108174.xlsx","ul_108174")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HYPERLINK("./new_k5/query_cmdrels_weight_analyze/0.4_0.5_0.1/ul_109536.xlsx","ul_109536")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HYPERLINK("./new_k5/query_cmdrels_weight_analyze/0.4_0.5_0.1/ul_112050.xlsx","ul_112050")</f>
        <v>ul_112050</v>
      </c>
      <c r="B345">
        <v>0</v>
      </c>
      <c r="C345">
        <v>0.25</v>
      </c>
      <c r="D345">
        <v>0.125</v>
      </c>
      <c r="E345">
        <v>0.75</v>
      </c>
      <c r="F345">
        <v>0.125</v>
      </c>
      <c r="G345">
        <v>0.75</v>
      </c>
    </row>
    <row r="346" spans="1:7" x14ac:dyDescent="0.15">
      <c r="A346" t="str">
        <f>HYPERLINK("./new_k5/query_cmdrels_weight_analyze/0.4_0.5_0.1/ul_116070.xlsx","ul_116070")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HYPERLINK("./new_k5/query_cmdrels_weight_analyze/0.4_0.5_0.1/ul_11851.xlsx","ul_11851")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HYPERLINK("./new_k5/query_cmdrels_weight_analyze/0.4_0.5_0.1/ul_119126.xlsx","ul_119126")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HYPERLINK("./new_k5/query_cmdrels_weight_analyze/0.4_0.5_0.1/ul_121718.xlsx","ul_121718")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HYPERLINK("./new_k5/query_cmdrels_weight_analyze/0.4_0.5_0.1/ul_12227.xlsx","ul_12227")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HYPERLINK("./new_k5/query_cmdrels_weight_analyze/0.4_0.5_0.1/ul_12453.xlsx","ul_12453")</f>
        <v>ul_12453</v>
      </c>
      <c r="B351">
        <v>0</v>
      </c>
      <c r="C351">
        <v>0.25</v>
      </c>
      <c r="D351">
        <v>0.125</v>
      </c>
      <c r="E351">
        <v>0.75</v>
      </c>
      <c r="F351">
        <v>0.125</v>
      </c>
      <c r="G351">
        <v>1</v>
      </c>
    </row>
    <row r="352" spans="1:7" x14ac:dyDescent="0.15">
      <c r="A352" t="str">
        <f>HYPERLINK("./new_k5/query_cmdrels_weight_analyze/0.4_0.5_0.1/ul_12535.xlsx","ul_12535")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0.28666666666666663</v>
      </c>
    </row>
    <row r="353" spans="1:7" x14ac:dyDescent="0.15">
      <c r="A353" t="str">
        <f>HYPERLINK("./new_k5/query_cmdrels_weight_analyze/0.4_0.5_0.1/ul_127066.xlsx","ul_127066")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0.41666666666666657</v>
      </c>
    </row>
    <row r="354" spans="1:7" x14ac:dyDescent="0.15">
      <c r="A354" t="str">
        <f>HYPERLINK("./new_k5/query_cmdrels_weight_analyze/0.4_0.5_0.1/ul_128953.xlsx","ul_128953")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HYPERLINK("./new_k5/query_cmdrels_weight_analyze/0.4_0.5_0.1/ul_134829.xlsx","ul_134829")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0.66666666666666663</v>
      </c>
    </row>
    <row r="356" spans="1:7" x14ac:dyDescent="0.15">
      <c r="A356" t="str">
        <f>HYPERLINK("./new_k5/query_cmdrels_weight_analyze/0.4_0.5_0.1/ul_136371.xlsx","ul_136371")</f>
        <v>ul_136371</v>
      </c>
      <c r="B356">
        <v>0</v>
      </c>
      <c r="C356">
        <v>0</v>
      </c>
      <c r="D356">
        <v>0</v>
      </c>
      <c r="E356">
        <v>0.16666666666666671</v>
      </c>
      <c r="F356">
        <v>0</v>
      </c>
      <c r="G356">
        <v>0.3</v>
      </c>
    </row>
    <row r="357" spans="1:7" x14ac:dyDescent="0.15">
      <c r="A357" t="str">
        <f>HYPERLINK("./new_k5/query_cmdrels_weight_analyze/0.4_0.5_0.1/ul_136884.xlsx","ul_136884")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HYPERLINK("./new_k5/query_cmdrels_weight_analyze/0.4_0.5_0.1/ul_138398.xlsx","ul_138398")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HYPERLINK("./new_k5/query_cmdrels_weight_analyze/0.4_0.5_0.1/ul_139271.xlsx","ul_139271")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0.16666666666666671</v>
      </c>
      <c r="F359">
        <v>0.33333333333333331</v>
      </c>
      <c r="G359">
        <v>0.35</v>
      </c>
    </row>
    <row r="360" spans="1:7" x14ac:dyDescent="0.15">
      <c r="A360" t="str">
        <f>HYPERLINK("./new_k5/query_cmdrels_weight_analyze/0.4_0.5_0.1/ul_140482.xlsx","ul_140482")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HYPERLINK("./new_k5/query_cmdrels_weight_analyze/0.4_0.5_0.1/ul_14191.xlsx","ul_14191")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0.1111111111111111</v>
      </c>
    </row>
    <row r="362" spans="1:7" x14ac:dyDescent="0.15">
      <c r="A362" t="str">
        <f>HYPERLINK("./new_k5/query_cmdrels_weight_analyze/0.4_0.5_0.1/ul_145929.xlsx","ul_145929")</f>
        <v>ul_145929</v>
      </c>
      <c r="B362">
        <v>0</v>
      </c>
      <c r="C362">
        <v>0</v>
      </c>
      <c r="D362">
        <v>0.16666666666666671</v>
      </c>
      <c r="E362">
        <v>0.25</v>
      </c>
      <c r="F362">
        <v>0.16666666666666671</v>
      </c>
      <c r="G362">
        <v>0.5</v>
      </c>
    </row>
    <row r="363" spans="1:7" x14ac:dyDescent="0.15">
      <c r="A363" t="str">
        <f>HYPERLINK("./new_k5/query_cmdrels_weight_analyze/0.4_0.5_0.1/ul_148985.xlsx","ul_148985")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HYPERLINK("./new_k5/query_cmdrels_weight_analyze/0.4_0.5_0.1/ul_15405.xlsx","ul_15405")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HYPERLINK("./new_k5/query_cmdrels_weight_analyze/0.4_0.5_0.1/ul_155551.xlsx","ul_155551")</f>
        <v>ul_155551</v>
      </c>
      <c r="B365">
        <v>0</v>
      </c>
      <c r="C365">
        <v>0.5</v>
      </c>
      <c r="D365">
        <v>0</v>
      </c>
      <c r="E365">
        <v>0.83333333333333326</v>
      </c>
      <c r="F365">
        <v>0</v>
      </c>
      <c r="G365">
        <v>0.83333333333333326</v>
      </c>
    </row>
    <row r="366" spans="1:7" x14ac:dyDescent="0.15">
      <c r="A366" t="str">
        <f>HYPERLINK("./new_k5/query_cmdrels_weight_analyze/0.4_0.5_0.1/ul_159672.xlsx","ul_159672")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HYPERLINK("./new_k5/query_cmdrels_weight_analyze/0.4_0.5_0.1/ul_163845.xlsx","ul_163845")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HYPERLINK("./new_k5/query_cmdrels_weight_analyze/0.4_0.5_0.1/ul_16407.xlsx","ul_16407")</f>
        <v>ul_16407</v>
      </c>
      <c r="B368">
        <v>0.5</v>
      </c>
      <c r="C368">
        <v>0</v>
      </c>
      <c r="D368">
        <v>0.5</v>
      </c>
      <c r="E368">
        <v>0.25</v>
      </c>
      <c r="F368">
        <v>0.75</v>
      </c>
      <c r="G368">
        <v>0.25</v>
      </c>
    </row>
    <row r="369" spans="1:7" x14ac:dyDescent="0.15">
      <c r="A369" t="str">
        <f>HYPERLINK("./new_k5/query_cmdrels_weight_analyze/0.4_0.5_0.1/ul_166558.xlsx","ul_166558")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HYPERLINK("./new_k5/query_cmdrels_weight_analyze/0.4_0.5_0.1/ul_171314.xlsx","ul_171314")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0.25</v>
      </c>
    </row>
    <row r="371" spans="1:7" x14ac:dyDescent="0.15">
      <c r="A371" t="str">
        <f>HYPERLINK("./new_k5/query_cmdrels_weight_analyze/0.4_0.5_0.1/ul_182032.xlsx","ul_182032")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HYPERLINK("./new_k5/query_cmdrels_weight_analyze/0.4_0.5_0.1/ul_19344.xlsx","ul_19344")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HYPERLINK("./new_k5/query_cmdrels_weight_analyze/0.4_0.5_0.1/ul_19369.xlsx","ul_19369")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HYPERLINK("./new_k5/query_cmdrels_weight_analyze/0.4_0.5_0.1/ul_19485.xlsx","ul_19485")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HYPERLINK("./new_k5/query_cmdrels_weight_analyze/0.4_0.5_0.1/ul_20370.xlsx","ul_20370")</f>
        <v>ul_20370</v>
      </c>
      <c r="B375">
        <v>0</v>
      </c>
      <c r="C375">
        <v>0.5</v>
      </c>
      <c r="D375">
        <v>0</v>
      </c>
      <c r="E375">
        <v>0.5</v>
      </c>
      <c r="F375">
        <v>0</v>
      </c>
      <c r="G375">
        <v>0.5</v>
      </c>
    </row>
    <row r="376" spans="1:7" x14ac:dyDescent="0.15">
      <c r="A376" t="str">
        <f>HYPERLINK("./new_k5/query_cmdrels_weight_analyze/0.4_0.5_0.1/ul_211817.xlsx","ul_211817")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HYPERLINK("./new_k5/query_cmdrels_weight_analyze/0.4_0.5_0.1/ul_212925.xlsx","ul_212925")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HYPERLINK("./new_k5/query_cmdrels_weight_analyze/0.4_0.5_0.1/ul_21471.xlsx","ul_21471")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HYPERLINK("./new_k5/query_cmdrels_weight_analyze/0.4_0.5_0.1/ul_22545.xlsx","ul_22545")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HYPERLINK("./new_k5/query_cmdrels_weight_analyze/0.4_0.5_0.1/ul_230481.xlsx","ul_230481")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HYPERLINK("./new_k5/query_cmdrels_weight_analyze/0.4_0.5_0.1/ul_230673.xlsx","ul_230673")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0.45</v>
      </c>
    </row>
    <row r="382" spans="1:7" x14ac:dyDescent="0.15">
      <c r="A382" t="str">
        <f>HYPERLINK("./new_k5/query_cmdrels_weight_analyze/0.4_0.5_0.1/ul_230800.xlsx","ul_230800")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HYPERLINK("./new_k5/query_cmdrels_weight_analyze/0.4_0.5_0.1/ul_232384.xlsx","ul_232384")</f>
        <v>ul_232384</v>
      </c>
      <c r="B383">
        <v>0</v>
      </c>
      <c r="C383">
        <v>0.5</v>
      </c>
      <c r="D383">
        <v>0</v>
      </c>
      <c r="E383">
        <v>0.83333333333333326</v>
      </c>
      <c r="F383">
        <v>0</v>
      </c>
      <c r="G383">
        <v>0.83333333333333326</v>
      </c>
    </row>
    <row r="384" spans="1:7" x14ac:dyDescent="0.15">
      <c r="A384" t="str">
        <f>HYPERLINK("./new_k5/query_cmdrels_weight_analyze/0.4_0.5_0.1/ul_24441.xlsx","ul_24441")</f>
        <v>ul_24441</v>
      </c>
      <c r="B384">
        <v>0</v>
      </c>
      <c r="C384">
        <v>0.5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HYPERLINK("./new_k5/query_cmdrels_weight_analyze/0.4_0.5_0.1/ul_246535.xlsx","ul_246535")</f>
        <v>ul_246535</v>
      </c>
      <c r="B385">
        <v>0.2</v>
      </c>
      <c r="C385">
        <v>0</v>
      </c>
      <c r="D385">
        <v>0.2</v>
      </c>
      <c r="E385">
        <v>0.23333333333333331</v>
      </c>
      <c r="F385">
        <v>0.2</v>
      </c>
      <c r="G385">
        <v>0.23333333333333331</v>
      </c>
    </row>
    <row r="386" spans="1:7" x14ac:dyDescent="0.15">
      <c r="A386" t="str">
        <f>HYPERLINK("./new_k5/query_cmdrels_weight_analyze/0.4_0.5_0.1/ul_259791.xlsx","ul_259791")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HYPERLINK("./new_k5/query_cmdrels_weight_analyze/0.4_0.5_0.1/ul_273971.xlsx","ul_273971")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0.27777777777777768</v>
      </c>
      <c r="F387">
        <v>0.43333333333333329</v>
      </c>
      <c r="G387">
        <v>0.27777777777777768</v>
      </c>
    </row>
    <row r="388" spans="1:7" x14ac:dyDescent="0.15">
      <c r="A388" t="str">
        <f>HYPERLINK("./new_k5/query_cmdrels_weight_analyze/0.4_0.5_0.1/ul_28553.xlsx","ul_28553")</f>
        <v>ul_28553</v>
      </c>
      <c r="B388">
        <v>0.25</v>
      </c>
      <c r="C388">
        <v>0.25</v>
      </c>
      <c r="D388">
        <v>0.5</v>
      </c>
      <c r="E388">
        <v>0.25</v>
      </c>
      <c r="F388">
        <v>0.5</v>
      </c>
      <c r="G388">
        <v>0.25</v>
      </c>
    </row>
    <row r="389" spans="1:7" x14ac:dyDescent="0.15">
      <c r="A389" t="str">
        <f>HYPERLINK("./new_k5/query_cmdrels_weight_analyze/0.4_0.5_0.1/ul_288521.xlsx","ul_288521")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HYPERLINK("./new_k5/query_cmdrels_weight_analyze/0.4_0.5_0.1/ul_32290.xlsx","ul_32290")</f>
        <v>ul_32290</v>
      </c>
      <c r="B390">
        <v>0</v>
      </c>
      <c r="C390">
        <v>0</v>
      </c>
      <c r="D390">
        <v>0</v>
      </c>
      <c r="E390">
        <v>8.3333333333333329E-2</v>
      </c>
      <c r="F390">
        <v>0</v>
      </c>
      <c r="G390">
        <v>8.3333333333333329E-2</v>
      </c>
    </row>
    <row r="391" spans="1:7" x14ac:dyDescent="0.15">
      <c r="A391" t="str">
        <f>HYPERLINK("./new_k5/query_cmdrels_weight_analyze/0.4_0.5_0.1/ul_328882.xlsx","ul_328882")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HYPERLINK("./new_k5/query_cmdrels_weight_analyze/0.4_0.5_0.1/ul_35131.xlsx","ul_35131")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0.66666666666666663</v>
      </c>
    </row>
    <row r="393" spans="1:7" x14ac:dyDescent="0.15">
      <c r="A393" t="str">
        <f>HYPERLINK("./new_k5/query_cmdrels_weight_analyze/0.4_0.5_0.1/ul_35333.xlsx","ul_35333")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HYPERLINK("./new_k5/query_cmdrels_weight_analyze/0.4_0.5_0.1/ul_35711.xlsx","ul_35711")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HYPERLINK("./new_k5/query_cmdrels_weight_analyze/0.4_0.5_0.1/ul_3575.xlsx","ul_3575")</f>
        <v>ul_3575</v>
      </c>
      <c r="B395">
        <v>0</v>
      </c>
      <c r="C395">
        <v>0</v>
      </c>
      <c r="D395">
        <v>8.3333333333333329E-2</v>
      </c>
      <c r="E395">
        <v>0</v>
      </c>
      <c r="F395">
        <v>8.3333333333333329E-2</v>
      </c>
      <c r="G395">
        <v>4.1666666666666657E-2</v>
      </c>
    </row>
    <row r="396" spans="1:7" x14ac:dyDescent="0.15">
      <c r="A396" t="str">
        <f>HYPERLINK("./new_k5/query_cmdrels_weight_analyze/0.4_0.5_0.1/ul_35832.xlsx","ul_35832")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HYPERLINK("./new_k5/query_cmdrels_weight_analyze/0.4_0.5_0.1/ul_370318.xlsx","ul_370318")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0.23809523809523811</v>
      </c>
      <c r="F397">
        <v>0.14285714285714279</v>
      </c>
      <c r="G397">
        <v>0.23809523809523811</v>
      </c>
    </row>
    <row r="398" spans="1:7" x14ac:dyDescent="0.15">
      <c r="A398" t="str">
        <f>HYPERLINK("./new_k5/query_cmdrels_weight_analyze/0.4_0.5_0.1/ul_37329.xlsx","ul_37329")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0.66666666666666663</v>
      </c>
      <c r="F398">
        <v>0.33333333333333331</v>
      </c>
      <c r="G398">
        <v>0.66666666666666663</v>
      </c>
    </row>
    <row r="399" spans="1:7" x14ac:dyDescent="0.15">
      <c r="A399" t="str">
        <f>HYPERLINK("./new_k5/query_cmdrels_weight_analyze/0.4_0.5_0.1/ul_38209.xlsx","ul_38209")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HYPERLINK("./new_k5/query_cmdrels_weight_analyze/0.4_0.5_0.1/ul_41246.xlsx","ul_41246")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HYPERLINK("./new_k5/query_cmdrels_weight_analyze/0.4_0.5_0.1/ul_41362.xlsx","ul_41362")</f>
        <v>ul_41362</v>
      </c>
      <c r="B401">
        <v>0</v>
      </c>
      <c r="C401">
        <v>0</v>
      </c>
      <c r="D401">
        <v>0</v>
      </c>
      <c r="E401">
        <v>8.3333333333333329E-2</v>
      </c>
      <c r="F401">
        <v>0</v>
      </c>
      <c r="G401">
        <v>8.3333333333333329E-2</v>
      </c>
    </row>
    <row r="402" spans="1:7" x14ac:dyDescent="0.15">
      <c r="A402" t="str">
        <f>HYPERLINK("./new_k5/query_cmdrels_weight_analyze/0.4_0.5_0.1/ul_48200.xlsx","ul_48200")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HYPERLINK("./new_k5/query_cmdrels_weight_analyze/0.4_0.5_0.1/ul_50098.xlsx","ul_50098")</f>
        <v>ul_50098</v>
      </c>
      <c r="B403">
        <v>0</v>
      </c>
      <c r="C403">
        <v>0</v>
      </c>
      <c r="D403">
        <v>0.1166666666666667</v>
      </c>
      <c r="E403">
        <v>0.05</v>
      </c>
      <c r="F403">
        <v>0.1166666666666667</v>
      </c>
      <c r="G403">
        <v>0.16</v>
      </c>
    </row>
    <row r="404" spans="1:7" x14ac:dyDescent="0.15">
      <c r="A404" t="str">
        <f>HYPERLINK("./new_k5/query_cmdrels_weight_analyze/0.4_0.5_0.1/ul_50785.xlsx","ul_50785")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HYPERLINK("./new_k5/query_cmdrels_weight_analyze/0.4_0.5_0.1/ul_5085.xlsx","ul_5085")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HYPERLINK("./new_k5/query_cmdrels_weight_analyze/0.4_0.5_0.1/ul_53737.xlsx","ul_53737")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HYPERLINK("./new_k5/query_cmdrels_weight_analyze/0.4_0.5_0.1/ul_55125.xlsx","ul_55125")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HYPERLINK("./new_k5/query_cmdrels_weight_analyze/0.4_0.5_0.1/ul_56453.xlsx","ul_56453")</f>
        <v>ul_56453</v>
      </c>
      <c r="B408">
        <v>0</v>
      </c>
      <c r="C408">
        <v>0.25</v>
      </c>
      <c r="D408">
        <v>8.3333333333333329E-2</v>
      </c>
      <c r="E408">
        <v>0.25</v>
      </c>
      <c r="F408">
        <v>8.3333333333333329E-2</v>
      </c>
      <c r="G408">
        <v>0.52500000000000002</v>
      </c>
    </row>
    <row r="409" spans="1:7" x14ac:dyDescent="0.15">
      <c r="A409" t="str">
        <f>HYPERLINK("./new_k5/query_cmdrels_weight_analyze/0.4_0.5_0.1/ul_63648.xlsx","ul_63648")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HYPERLINK("./new_k5/query_cmdrels_weight_analyze/0.4_0.5_0.1/ul_6402.xlsx","ul_6402")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0.33333333333333331</v>
      </c>
    </row>
    <row r="411" spans="1:7" x14ac:dyDescent="0.15">
      <c r="A411" t="str">
        <f>HYPERLINK("./new_k5/query_cmdrels_weight_analyze/0.4_0.5_0.1/ul_65106.xlsx","ul_65106")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0.66666666666666663</v>
      </c>
    </row>
    <row r="412" spans="1:7" x14ac:dyDescent="0.15">
      <c r="A412" t="str">
        <f>HYPERLINK("./new_k5/query_cmdrels_weight_analyze/0.4_0.5_0.1/ul_65932.xlsx","ul_65932")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HYPERLINK("./new_k5/query_cmdrels_weight_analyze/0.4_0.5_0.1/ul_6596.xlsx","ul_6596")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HYPERLINK("./new_k5/query_cmdrels_weight_analyze/0.4_0.5_0.1/ul_67503.xlsx","ul_67503")</f>
        <v>ul_67503</v>
      </c>
      <c r="B414">
        <v>0</v>
      </c>
      <c r="C414">
        <v>0.5</v>
      </c>
      <c r="D414">
        <v>0.25</v>
      </c>
      <c r="E414">
        <v>0.5</v>
      </c>
      <c r="F414">
        <v>0.5</v>
      </c>
      <c r="G414">
        <v>0.5</v>
      </c>
    </row>
    <row r="415" spans="1:7" x14ac:dyDescent="0.15">
      <c r="A415" t="str">
        <f>HYPERLINK("./new_k5/query_cmdrels_weight_analyze/0.4_0.5_0.1/ul_67592.xlsx","ul_67592")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HYPERLINK("./new_k5/query_cmdrels_weight_analyze/0.4_0.5_0.1/ul_70581.xlsx","ul_70581")</f>
        <v>ul_70581</v>
      </c>
      <c r="B416">
        <v>0</v>
      </c>
      <c r="C416">
        <v>0.2</v>
      </c>
      <c r="D416">
        <v>0.1</v>
      </c>
      <c r="E416">
        <v>0.6</v>
      </c>
      <c r="F416">
        <v>0.1</v>
      </c>
      <c r="G416">
        <v>0.6</v>
      </c>
    </row>
    <row r="417" spans="1:7" x14ac:dyDescent="0.15">
      <c r="A417" t="str">
        <f>HYPERLINK("./new_k5/query_cmdrels_weight_analyze/0.4_0.5_0.1/ul_70614.xlsx","ul_70614")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HYPERLINK("./new_k5/query_cmdrels_weight_analyze/0.4_0.5_0.1/ul_71465.xlsx","ul_71465")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HYPERLINK("./new_k5/query_cmdrels_weight_analyze/0.4_0.5_0.1/ul_7226.xlsx","ul_7226")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0.33333333333333331</v>
      </c>
      <c r="F419">
        <v>0.33333333333333331</v>
      </c>
      <c r="G419">
        <v>0.5</v>
      </c>
    </row>
    <row r="420" spans="1:7" x14ac:dyDescent="0.15">
      <c r="A420" t="str">
        <f>HYPERLINK("./new_k5/query_cmdrels_weight_analyze/0.4_0.5_0.1/ul_78182.xlsx","ul_78182")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</v>
      </c>
    </row>
    <row r="421" spans="1:7" x14ac:dyDescent="0.15">
      <c r="A421" t="str">
        <f>HYPERLINK("./new_k5/query_cmdrels_weight_analyze/0.4_0.5_0.1/ul_79678.xlsx","ul_79678")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HYPERLINK("./new_k5/query_cmdrels_weight_analyze/0.4_0.5_0.1/ul_79702.xlsx","ul_79702")</f>
        <v>ul_79702</v>
      </c>
      <c r="B422">
        <v>0</v>
      </c>
      <c r="C422">
        <v>0.33333333333333331</v>
      </c>
      <c r="D422">
        <v>0</v>
      </c>
      <c r="E422">
        <v>0.55555555555555547</v>
      </c>
      <c r="F422">
        <v>0</v>
      </c>
      <c r="G422">
        <v>0.75555555555555554</v>
      </c>
    </row>
    <row r="423" spans="1:7" x14ac:dyDescent="0.15">
      <c r="A423" t="str">
        <f>HYPERLINK("./new_k5/query_cmdrels_weight_analyze/0.4_0.5_0.1/ul_83593.xlsx","ul_83593")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HYPERLINK("./new_k5/query_cmdrels_weight_analyze/0.4_0.5_0.1/ul_84381.xlsx","ul_84381")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HYPERLINK("./new_k5/query_cmdrels_weight_analyze/0.4_0.5_0.1/ul_85180.xlsx","ul_85180")</f>
        <v>ul_85180</v>
      </c>
      <c r="B425">
        <v>0</v>
      </c>
      <c r="C425">
        <v>0</v>
      </c>
      <c r="D425">
        <v>0.16666666666666671</v>
      </c>
      <c r="E425">
        <v>0.16666666666666671</v>
      </c>
      <c r="F425">
        <v>0.16666666666666671</v>
      </c>
      <c r="G425">
        <v>0.33333333333333331</v>
      </c>
    </row>
    <row r="426" spans="1:7" x14ac:dyDescent="0.15">
      <c r="A426" t="str">
        <f>HYPERLINK("./new_k5/query_cmdrels_weight_analyze/0.4_0.5_0.1/ul_86071.xlsx","ul_86071")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HYPERLINK("./new_k5/query_cmdrels_weight_analyze/0.4_0.5_0.1/ul_86729.xlsx","ul_86729")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HYPERLINK("./new_k5/query_cmdrels_weight_analyze/0.4_0.5_0.1/ul_88824.xlsx","ul_88824")</f>
        <v>ul_88824</v>
      </c>
      <c r="B428">
        <v>0</v>
      </c>
      <c r="C428">
        <v>0.33333333333333331</v>
      </c>
      <c r="D428">
        <v>0</v>
      </c>
      <c r="E428">
        <v>0.33333333333333331</v>
      </c>
      <c r="F428">
        <v>0</v>
      </c>
      <c r="G428">
        <v>0.33333333333333331</v>
      </c>
    </row>
    <row r="429" spans="1:7" x14ac:dyDescent="0.15">
      <c r="A429" t="str">
        <f>HYPERLINK("./new_k5/query_cmdrels_weight_analyze/0.4_0.5_0.1/ul_8945.xlsx","ul_8945")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HYPERLINK("./new_k5/query_cmdrels_weight_analyze/0.4_0.5_0.1/ul_89933.xlsx","ul_89933")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HYPERLINK("./new_k5/query_cmdrels_weight_analyze/0.4_0.5_0.1/ul_91297.xlsx","ul_91297")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HYPERLINK("./new_k5/query_cmdrels_weight_analyze/0.4_0.5_0.1/ul_9252.xlsx","ul_9252")</f>
        <v>ul_9252</v>
      </c>
      <c r="B432">
        <v>0</v>
      </c>
      <c r="C432">
        <v>0</v>
      </c>
      <c r="D432">
        <v>0.23333333333333331</v>
      </c>
      <c r="E432">
        <v>6.6666666666666666E-2</v>
      </c>
      <c r="F432">
        <v>0.23333333333333331</v>
      </c>
      <c r="G432">
        <v>0.1466666666666667</v>
      </c>
    </row>
    <row r="433" spans="1:7" x14ac:dyDescent="0.15">
      <c r="A433" t="str">
        <f>HYPERLINK("./new_k5/query_cmdrels_weight_analyze/0.4_0.5_0.1/ul_92560.xlsx","ul_92560")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0.5</v>
      </c>
    </row>
    <row r="434" spans="1:7" x14ac:dyDescent="0.15">
      <c r="A434" t="str">
        <f>HYPERLINK("./new_k5/query_cmdrels_weight_analyze/0.4_0.5_0.1/ul_92799.xlsx","ul_92799")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0.33333333333333331</v>
      </c>
      <c r="F434">
        <v>0.53611111111111109</v>
      </c>
      <c r="G434">
        <v>0.43333333333333329</v>
      </c>
    </row>
    <row r="435" spans="1:7" x14ac:dyDescent="0.15">
      <c r="A435" t="str">
        <f>HYPERLINK("./new_k5/query_cmdrels_weight_analyze/0.4_0.5_0.1/ul_93139.xlsx","ul_93139")</f>
        <v>ul_93139</v>
      </c>
      <c r="B435">
        <v>0</v>
      </c>
      <c r="C435">
        <v>0.5</v>
      </c>
      <c r="D435">
        <v>0.25</v>
      </c>
      <c r="E435">
        <v>0.5</v>
      </c>
      <c r="F435">
        <v>0.25</v>
      </c>
      <c r="G435">
        <v>0.5</v>
      </c>
    </row>
    <row r="436" spans="1:7" x14ac:dyDescent="0.15">
      <c r="A436" t="str">
        <f>HYPERLINK("./new_k5/query_cmdrels_weight_analyze/0.4_0.5_0.1/ul_98461.xlsx","ul_98461")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HYPERLINK("./new_k5/query_cmdrels_weight_analyze/0.5_0.1_0.4/au_102733.xlsx","au_102733")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HYPERLINK("./new_k5/query_cmdrels_weight_analyze/0.5_0.1_0.4/au_1029436.xlsx","au_1029436")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HYPERLINK("./new_k5/query_cmdrels_weight_analyze/0.5_0.1_0.4/au_1029502.xlsx","au_1029502")</f>
        <v>au_1029502</v>
      </c>
      <c r="B5">
        <v>0.25</v>
      </c>
      <c r="C5">
        <v>0</v>
      </c>
      <c r="D5">
        <v>0.25</v>
      </c>
      <c r="E5">
        <v>8.3333333333333329E-2</v>
      </c>
      <c r="F5">
        <v>0.375</v>
      </c>
      <c r="G5">
        <v>8.3333333333333329E-2</v>
      </c>
    </row>
    <row r="6" spans="1:7" x14ac:dyDescent="0.15">
      <c r="A6" t="str">
        <f>HYPERLINK("./new_k5/query_cmdrels_weight_analyze/0.5_0.1_0.4/au_1029531.xlsx","au_1029531")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HYPERLINK("./new_k5/query_cmdrels_weight_analyze/0.5_0.1_0.4/au_104542.xlsx","au_104542")</f>
        <v>au_104542</v>
      </c>
      <c r="B7">
        <v>0.125</v>
      </c>
      <c r="C7">
        <v>0.125</v>
      </c>
      <c r="D7">
        <v>0.25</v>
      </c>
      <c r="E7">
        <v>0.25</v>
      </c>
      <c r="F7">
        <v>0.25</v>
      </c>
      <c r="G7">
        <v>0.25</v>
      </c>
    </row>
    <row r="8" spans="1:7" x14ac:dyDescent="0.15">
      <c r="A8" t="str">
        <f>HYPERLINK("./new_k5/query_cmdrels_weight_analyze/0.5_0.1_0.4/au_109070.xlsx","au_109070")</f>
        <v>au_109070</v>
      </c>
      <c r="B8">
        <v>0</v>
      </c>
      <c r="C8">
        <v>0</v>
      </c>
      <c r="D8">
        <v>0.23333333333333331</v>
      </c>
      <c r="E8">
        <v>0.23333333333333331</v>
      </c>
      <c r="F8">
        <v>0.3833333333333333</v>
      </c>
      <c r="G8">
        <v>0.23333333333333331</v>
      </c>
    </row>
    <row r="9" spans="1:7" x14ac:dyDescent="0.15">
      <c r="A9" t="str">
        <f>HYPERLINK("./new_k5/query_cmdrels_weight_analyze/0.5_0.1_0.4/au_109381.xlsx","au_109381")</f>
        <v>au_109381</v>
      </c>
      <c r="B9">
        <v>0</v>
      </c>
      <c r="C9">
        <v>0</v>
      </c>
      <c r="D9">
        <v>0.25</v>
      </c>
      <c r="E9">
        <v>0.25</v>
      </c>
      <c r="F9">
        <v>0.25</v>
      </c>
      <c r="G9">
        <v>0.25</v>
      </c>
    </row>
    <row r="10" spans="1:7" x14ac:dyDescent="0.15">
      <c r="A10" t="str">
        <f>HYPERLINK("./new_k5/query_cmdrels_weight_analyze/0.5_0.1_0.4/au_110477.xlsx","au_110477")</f>
        <v>au_110477</v>
      </c>
      <c r="B10">
        <v>0.25</v>
      </c>
      <c r="C10">
        <v>0.25</v>
      </c>
      <c r="D10">
        <v>0.5</v>
      </c>
      <c r="E10">
        <v>0.5</v>
      </c>
      <c r="F10">
        <v>0.5</v>
      </c>
      <c r="G10">
        <v>0.5</v>
      </c>
    </row>
    <row r="11" spans="1:7" x14ac:dyDescent="0.15">
      <c r="A11" t="str">
        <f>HYPERLINK("./new_k5/query_cmdrels_weight_analyze/0.5_0.1_0.4/au_111678.xlsx","au_111678")</f>
        <v>au_111678</v>
      </c>
      <c r="B11">
        <v>0</v>
      </c>
      <c r="C11">
        <v>0</v>
      </c>
      <c r="D11">
        <v>0.1111111111111111</v>
      </c>
      <c r="E11">
        <v>0.1111111111111111</v>
      </c>
      <c r="F11">
        <v>0.1111111111111111</v>
      </c>
      <c r="G11">
        <v>0.1111111111111111</v>
      </c>
    </row>
    <row r="12" spans="1:7" x14ac:dyDescent="0.15">
      <c r="A12" t="str">
        <f>HYPERLINK("./new_k5/query_cmdrels_weight_analyze/0.5_0.1_0.4/au_112512.xlsx","au_112512")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HYPERLINK("./new_k5/query_cmdrels_weight_analyze/0.5_0.1_0.4/au_115369.xlsx","au_115369")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HYPERLINK("./new_k5/query_cmdrels_weight_analyze/0.5_0.1_0.4/au_11789.xlsx","au_11789")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HYPERLINK("./new_k5/query_cmdrels_weight_analyze/0.5_0.1_0.4/au_117950.xlsx","au_117950")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</v>
      </c>
    </row>
    <row r="16" spans="1:7" x14ac:dyDescent="0.15">
      <c r="A16" t="str">
        <f>HYPERLINK("./new_k5/query_cmdrels_weight_analyze/0.5_0.1_0.4/au_122113.xlsx","au_122113")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HYPERLINK("./new_k5/query_cmdrels_weight_analyze/0.5_0.1_0.4/au_123798.xlsx","au_123798")</f>
        <v>au_123798</v>
      </c>
      <c r="B17">
        <v>0</v>
      </c>
      <c r="C17">
        <v>0</v>
      </c>
      <c r="D17">
        <v>5.5555555555555552E-2</v>
      </c>
      <c r="E17">
        <v>0.19444444444444439</v>
      </c>
      <c r="F17">
        <v>0.23888888888888879</v>
      </c>
      <c r="G17">
        <v>0.29444444444444451</v>
      </c>
    </row>
    <row r="18" spans="1:7" x14ac:dyDescent="0.15">
      <c r="A18" t="str">
        <f>HYPERLINK("./new_k5/query_cmdrels_weight_analyze/0.5_0.1_0.4/au_125257.xlsx","au_125257")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HYPERLINK("./new_k5/query_cmdrels_weight_analyze/0.5_0.1_0.4/au_126153.xlsx","au_126153")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0.5</v>
      </c>
      <c r="F19">
        <v>0.45833333333333331</v>
      </c>
      <c r="G19">
        <v>0.66666666666666663</v>
      </c>
    </row>
    <row r="20" spans="1:7" x14ac:dyDescent="0.15">
      <c r="A20" t="str">
        <f>HYPERLINK("./new_k5/query_cmdrels_weight_analyze/0.5_0.1_0.4/au_127326.xlsx","au_127326")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HYPERLINK("./new_k5/query_cmdrels_weight_analyze/0.5_0.1_0.4/au_128463.xlsx","au_128463")</f>
        <v>au_128463</v>
      </c>
      <c r="B21">
        <v>0.33333333333333331</v>
      </c>
      <c r="C21">
        <v>0.33333333333333331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HYPERLINK("./new_k5/query_cmdrels_weight_analyze/0.5_0.1_0.4/au_130393.xlsx","au_130393")</f>
        <v>au_130393</v>
      </c>
      <c r="B22">
        <v>0</v>
      </c>
      <c r="C22">
        <v>0</v>
      </c>
      <c r="D22">
        <v>0.125</v>
      </c>
      <c r="E22">
        <v>0.125</v>
      </c>
      <c r="F22">
        <v>0.125</v>
      </c>
      <c r="G22">
        <v>0.25</v>
      </c>
    </row>
    <row r="23" spans="1:7" x14ac:dyDescent="0.15">
      <c r="A23" t="str">
        <f>HYPERLINK("./new_k5/query_cmdrels_weight_analyze/0.5_0.1_0.4/au_131570.xlsx","au_131570")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HYPERLINK("./new_k5/query_cmdrels_weight_analyze/0.5_0.1_0.4/au_133318.xlsx","au_133318")</f>
        <v>au_133318</v>
      </c>
      <c r="B24">
        <v>0</v>
      </c>
      <c r="C24">
        <v>0.25</v>
      </c>
      <c r="D24">
        <v>0</v>
      </c>
      <c r="E24">
        <v>0.25</v>
      </c>
      <c r="F24">
        <v>0</v>
      </c>
      <c r="G24">
        <v>0.35</v>
      </c>
    </row>
    <row r="25" spans="1:7" x14ac:dyDescent="0.15">
      <c r="A25" t="str">
        <f>HYPERLINK("./new_k5/query_cmdrels_weight_analyze/0.5_0.1_0.4/au_133343.xlsx","au_133343")</f>
        <v>au_133343</v>
      </c>
      <c r="B25">
        <v>0</v>
      </c>
      <c r="C25">
        <v>0</v>
      </c>
      <c r="D25">
        <v>0</v>
      </c>
      <c r="E25">
        <v>0.16666666666666671</v>
      </c>
      <c r="F25">
        <v>0</v>
      </c>
      <c r="G25">
        <v>0.33333333333333331</v>
      </c>
    </row>
    <row r="26" spans="1:7" x14ac:dyDescent="0.15">
      <c r="A26" t="str">
        <f>HYPERLINK("./new_k5/query_cmdrels_weight_analyze/0.5_0.1_0.4/au_133389.xlsx","au_133389")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HYPERLINK("./new_k5/query_cmdrels_weight_analyze/0.5_0.1_0.4/au_141277.xlsx","au_141277")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HYPERLINK("./new_k5/query_cmdrels_weight_analyze/0.5_0.1_0.4/au_143819.xlsx","au_143819")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HYPERLINK("./new_k5/query_cmdrels_weight_analyze/0.5_0.1_0.4/au_145935.xlsx","au_145935")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HYPERLINK("./new_k5/query_cmdrels_weight_analyze/0.5_0.1_0.4/au_147241.xlsx","au_147241")</f>
        <v>au_147241</v>
      </c>
      <c r="B30">
        <v>0</v>
      </c>
      <c r="C30">
        <v>0</v>
      </c>
      <c r="D30">
        <v>0.29166666666666657</v>
      </c>
      <c r="E30">
        <v>0.29166666666666657</v>
      </c>
      <c r="F30">
        <v>0.29166666666666657</v>
      </c>
      <c r="G30">
        <v>0.47916666666666657</v>
      </c>
    </row>
    <row r="31" spans="1:7" x14ac:dyDescent="0.15">
      <c r="A31" t="str">
        <f>HYPERLINK("./new_k5/query_cmdrels_weight_analyze/0.5_0.1_0.4/au_147800.xlsx","au_147800")</f>
        <v>au_147800</v>
      </c>
      <c r="B31">
        <v>0</v>
      </c>
      <c r="C31">
        <v>0.33333333333333331</v>
      </c>
      <c r="D31">
        <v>0.1111111111111111</v>
      </c>
      <c r="E31">
        <v>0.33333333333333331</v>
      </c>
      <c r="F31">
        <v>0.1111111111111111</v>
      </c>
      <c r="G31">
        <v>0.33333333333333331</v>
      </c>
    </row>
    <row r="32" spans="1:7" x14ac:dyDescent="0.15">
      <c r="A32" t="str">
        <f>HYPERLINK("./new_k5/query_cmdrels_weight_analyze/0.5_0.1_0.4/au_148321.xlsx","au_148321")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0.40277777777777768</v>
      </c>
    </row>
    <row r="33" spans="1:7" x14ac:dyDescent="0.15">
      <c r="A33" t="str">
        <f>HYPERLINK("./new_k5/query_cmdrels_weight_analyze/0.5_0.1_0.4/au_148638.xlsx","au_148638")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HYPERLINK("./new_k5/query_cmdrels_weight_analyze/0.5_0.1_0.4/au_151049.xlsx","au_151049")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0.55555555555555547</v>
      </c>
      <c r="F34">
        <v>0.66666666666666663</v>
      </c>
      <c r="G34">
        <v>0.55555555555555547</v>
      </c>
    </row>
    <row r="35" spans="1:7" x14ac:dyDescent="0.15">
      <c r="A35" t="str">
        <f>HYPERLINK("./new_k5/query_cmdrels_weight_analyze/0.5_0.1_0.4/au_151941.xlsx","au_151941")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HYPERLINK("./new_k5/query_cmdrels_weight_analyze/0.5_0.1_0.4/au_152297.xlsx","au_152297")</f>
        <v>au_152297</v>
      </c>
      <c r="B36">
        <v>0</v>
      </c>
      <c r="C36">
        <v>0</v>
      </c>
      <c r="D36">
        <v>7.1428571428571425E-2</v>
      </c>
      <c r="E36">
        <v>0.16666666666666671</v>
      </c>
      <c r="F36">
        <v>7.1428571428571425E-2</v>
      </c>
      <c r="G36">
        <v>0.16666666666666671</v>
      </c>
    </row>
    <row r="37" spans="1:7" x14ac:dyDescent="0.15">
      <c r="A37" t="str">
        <f>HYPERLINK("./new_k5/query_cmdrels_weight_analyze/0.5_0.1_0.4/au_153976.xlsx","au_153976")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0.16666666666666671</v>
      </c>
      <c r="F37">
        <v>0.33333333333333331</v>
      </c>
      <c r="G37">
        <v>0.25</v>
      </c>
    </row>
    <row r="38" spans="1:7" x14ac:dyDescent="0.15">
      <c r="A38" t="str">
        <f>HYPERLINK("./new_k5/query_cmdrels_weight_analyze/0.5_0.1_0.4/au_154431.xlsx","au_154431")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HYPERLINK("./new_k5/query_cmdrels_weight_analyze/0.5_0.1_0.4/au_159708.xlsx","au_159708")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0.33333333333333331</v>
      </c>
      <c r="F39">
        <v>0.33333333333333331</v>
      </c>
      <c r="G39">
        <v>0.33333333333333331</v>
      </c>
    </row>
    <row r="40" spans="1:7" x14ac:dyDescent="0.15">
      <c r="A40" t="str">
        <f>HYPERLINK("./new_k5/query_cmdrels_weight_analyze/0.5_0.1_0.4/au_160869.xlsx","au_160869")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HYPERLINK("./new_k5/query_cmdrels_weight_analyze/0.5_0.1_0.4/au_161313.xlsx","au_161313")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</v>
      </c>
    </row>
    <row r="42" spans="1:7" x14ac:dyDescent="0.15">
      <c r="A42" t="str">
        <f>HYPERLINK("./new_k5/query_cmdrels_weight_analyze/0.5_0.1_0.4/au_162075.xlsx","au_162075")</f>
        <v>au_162075</v>
      </c>
      <c r="B42">
        <v>0.25</v>
      </c>
      <c r="C42">
        <v>0.25</v>
      </c>
      <c r="D42">
        <v>0.5</v>
      </c>
      <c r="E42">
        <v>0.41666666666666657</v>
      </c>
      <c r="F42">
        <v>0.5</v>
      </c>
      <c r="G42">
        <v>0.41666666666666657</v>
      </c>
    </row>
    <row r="43" spans="1:7" x14ac:dyDescent="0.15">
      <c r="A43" t="str">
        <f>HYPERLINK("./new_k5/query_cmdrels_weight_analyze/0.5_0.1_0.4/au_16277.xlsx","au_16277")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0.66666666666666663</v>
      </c>
    </row>
    <row r="44" spans="1:7" x14ac:dyDescent="0.15">
      <c r="A44" t="str">
        <f>HYPERLINK("./new_k5/query_cmdrels_weight_analyze/0.5_0.1_0.4/au_163155.xlsx","au_163155")</f>
        <v>au_163155</v>
      </c>
      <c r="B44">
        <v>0.125</v>
      </c>
      <c r="C44">
        <v>0.125</v>
      </c>
      <c r="D44">
        <v>0.375</v>
      </c>
      <c r="E44">
        <v>0.25</v>
      </c>
      <c r="F44">
        <v>0.5</v>
      </c>
      <c r="G44">
        <v>0.34375</v>
      </c>
    </row>
    <row r="45" spans="1:7" x14ac:dyDescent="0.15">
      <c r="A45" t="str">
        <f>HYPERLINK("./new_k5/query_cmdrels_weight_analyze/0.5_0.1_0.4/au_164473.xlsx","au_164473")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HYPERLINK("./new_k5/query_cmdrels_weight_analyze/0.5_0.1_0.4/au_16584.xlsx","au_16584")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9.0909090909090912E-2</v>
      </c>
      <c r="F46">
        <v>0.13636363636363641</v>
      </c>
      <c r="G46">
        <v>9.0909090909090912E-2</v>
      </c>
    </row>
    <row r="47" spans="1:7" x14ac:dyDescent="0.15">
      <c r="A47" t="str">
        <f>HYPERLINK("./new_k5/query_cmdrels_weight_analyze/0.5_0.1_0.4/au_166420.xlsx","au_166420")</f>
        <v>au_166420</v>
      </c>
      <c r="B47">
        <v>0.2</v>
      </c>
      <c r="C47">
        <v>0.2</v>
      </c>
      <c r="D47">
        <v>0.33333333333333331</v>
      </c>
      <c r="E47">
        <v>0.33333333333333331</v>
      </c>
      <c r="F47">
        <v>0.48333333333333328</v>
      </c>
      <c r="G47">
        <v>0.33333333333333331</v>
      </c>
    </row>
    <row r="48" spans="1:7" x14ac:dyDescent="0.15">
      <c r="A48" t="str">
        <f>HYPERLINK("./new_k5/query_cmdrels_weight_analyze/0.5_0.1_0.4/au_169473.xlsx","au_169473")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0.16666666666666671</v>
      </c>
      <c r="F48">
        <v>0.43333333333333329</v>
      </c>
      <c r="G48">
        <v>0.35</v>
      </c>
    </row>
    <row r="49" spans="1:7" x14ac:dyDescent="0.15">
      <c r="A49" t="str">
        <f>HYPERLINK("./new_k5/query_cmdrels_weight_analyze/0.5_0.1_0.4/au_169516.xlsx","au_169516")</f>
        <v>au_169516</v>
      </c>
      <c r="B49">
        <v>0.25</v>
      </c>
      <c r="C49">
        <v>0.25</v>
      </c>
      <c r="D49">
        <v>0.25</v>
      </c>
      <c r="E49">
        <v>0.41666666666666657</v>
      </c>
      <c r="F49">
        <v>0.25</v>
      </c>
      <c r="G49">
        <v>0.41666666666666657</v>
      </c>
    </row>
    <row r="50" spans="1:7" x14ac:dyDescent="0.15">
      <c r="A50" t="str">
        <f>HYPERLINK("./new_k5/query_cmdrels_weight_analyze/0.5_0.1_0.4/au_174292.xlsx","au_174292")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0.25</v>
      </c>
    </row>
    <row r="51" spans="1:7" x14ac:dyDescent="0.15">
      <c r="A51" t="str">
        <f>HYPERLINK("./new_k5/query_cmdrels_weight_analyze/0.5_0.1_0.4/au_178481.xlsx","au_178481")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HYPERLINK("./new_k5/query_cmdrels_weight_analyze/0.5_0.1_0.4/au_180925.xlsx","au_180925")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HYPERLINK("./new_k5/query_cmdrels_weight_analyze/0.5_0.1_0.4/au_187888.xlsx","au_187888")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HYPERLINK("./new_k5/query_cmdrels_weight_analyze/0.5_0.1_0.4/au_191390.xlsx","au_191390")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HYPERLINK("./new_k5/query_cmdrels_weight_analyze/0.5_0.1_0.4/au_192798.xlsx","au_192798")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HYPERLINK("./new_k5/query_cmdrels_weight_analyze/0.5_0.1_0.4/au_201775.xlsx","au_201775")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0.55555555555555547</v>
      </c>
      <c r="F56">
        <v>0.66666666666666663</v>
      </c>
      <c r="G56">
        <v>0.75555555555555554</v>
      </c>
    </row>
    <row r="57" spans="1:7" x14ac:dyDescent="0.15">
      <c r="A57" t="str">
        <f>HYPERLINK("./new_k5/query_cmdrels_weight_analyze/0.5_0.1_0.4/au_204166.xlsx","au_204166")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HYPERLINK("./new_k5/query_cmdrels_weight_analyze/0.5_0.1_0.4/au_207447.xlsx","au_207447")</f>
        <v>au_207447</v>
      </c>
      <c r="B58">
        <v>0.33333333333333331</v>
      </c>
      <c r="C58">
        <v>0.33333333333333331</v>
      </c>
      <c r="D58">
        <v>0.33333333333333331</v>
      </c>
      <c r="E58">
        <v>0.33333333333333331</v>
      </c>
      <c r="F58">
        <v>0.33333333333333331</v>
      </c>
      <c r="G58">
        <v>0.33333333333333331</v>
      </c>
    </row>
    <row r="59" spans="1:7" x14ac:dyDescent="0.15">
      <c r="A59" t="str">
        <f>HYPERLINK("./new_k5/query_cmdrels_weight_analyze/0.5_0.1_0.4/au_210680.xlsx","au_210680")</f>
        <v>au_210680</v>
      </c>
      <c r="B59">
        <v>0.2</v>
      </c>
      <c r="C59">
        <v>0.2</v>
      </c>
      <c r="D59">
        <v>0.6</v>
      </c>
      <c r="E59">
        <v>0.4</v>
      </c>
      <c r="F59">
        <v>0.6</v>
      </c>
      <c r="G59">
        <v>0.55000000000000004</v>
      </c>
    </row>
    <row r="60" spans="1:7" x14ac:dyDescent="0.15">
      <c r="A60" t="str">
        <f>HYPERLINK("./new_k5/query_cmdrels_weight_analyze/0.5_0.1_0.4/au_214246.xlsx","au_214246")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HYPERLINK("./new_k5/query_cmdrels_weight_analyze/0.5_0.1_0.4/au_214643.xlsx","au_214643")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HYPERLINK("./new_k5/query_cmdrels_weight_analyze/0.5_0.1_0.4/au_2194.xlsx","au_2194")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0.12857142857142859</v>
      </c>
    </row>
    <row r="63" spans="1:7" x14ac:dyDescent="0.15">
      <c r="A63" t="str">
        <f>HYPERLINK("./new_k5/query_cmdrels_weight_analyze/0.5_0.1_0.4/au_221962.xlsx","au_221962")</f>
        <v>au_221962</v>
      </c>
      <c r="B63">
        <v>0</v>
      </c>
      <c r="C63">
        <v>0</v>
      </c>
      <c r="D63">
        <v>5.5555555555555552E-2</v>
      </c>
      <c r="E63">
        <v>5.5555555555555552E-2</v>
      </c>
      <c r="F63">
        <v>0.1388888888888889</v>
      </c>
      <c r="G63">
        <v>5.5555555555555552E-2</v>
      </c>
    </row>
    <row r="64" spans="1:7" x14ac:dyDescent="0.15">
      <c r="A64" t="str">
        <f>HYPERLINK("./new_k5/query_cmdrels_weight_analyze/0.5_0.1_0.4/au_22608.xlsx","au_22608")</f>
        <v>au_22608</v>
      </c>
      <c r="B64">
        <v>0.33333333333333331</v>
      </c>
      <c r="C64">
        <v>0.33333333333333331</v>
      </c>
      <c r="D64">
        <v>0.33333333333333331</v>
      </c>
      <c r="E64">
        <v>0.33333333333333331</v>
      </c>
      <c r="F64">
        <v>0.33333333333333331</v>
      </c>
      <c r="G64">
        <v>0.5</v>
      </c>
    </row>
    <row r="65" spans="1:7" x14ac:dyDescent="0.15">
      <c r="A65" t="str">
        <f>HYPERLINK("./new_k5/query_cmdrels_weight_analyze/0.5_0.1_0.4/au_230698.xlsx","au_230698")</f>
        <v>au_230698</v>
      </c>
      <c r="B65">
        <v>0.125</v>
      </c>
      <c r="C65">
        <v>0.125</v>
      </c>
      <c r="D65">
        <v>0.25</v>
      </c>
      <c r="E65">
        <v>0.20833333333333329</v>
      </c>
      <c r="F65">
        <v>0.32500000000000001</v>
      </c>
      <c r="G65">
        <v>0.28333333333333333</v>
      </c>
    </row>
    <row r="66" spans="1:7" x14ac:dyDescent="0.15">
      <c r="A66" t="str">
        <f>HYPERLINK("./new_k5/query_cmdrels_weight_analyze/0.5_0.1_0.4/au_232442.xlsx","au_232442")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HYPERLINK("./new_k5/query_cmdrels_weight_analyze/0.5_0.1_0.4/au_233378.xlsx","au_233378")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HYPERLINK("./new_k5/query_cmdrels_weight_analyze/0.5_0.1_0.4/au_24027.xlsx","au_24027")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HYPERLINK("./new_k5/query_cmdrels_weight_analyze/0.5_0.1_0.4/au_246647.xlsx","au_246647")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0.28333333333333333</v>
      </c>
    </row>
    <row r="70" spans="1:7" x14ac:dyDescent="0.15">
      <c r="A70" t="str">
        <f>HYPERLINK("./new_k5/query_cmdrels_weight_analyze/0.5_0.1_0.4/au_254424.xlsx","au_254424")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HYPERLINK("./new_k5/query_cmdrels_weight_analyze/0.5_0.1_0.4/au_255890.xlsx","au_255890")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HYPERLINK("./new_k5/query_cmdrels_weight_analyze/0.5_0.1_0.4/au_257248.xlsx","au_257248")</f>
        <v>au_257248</v>
      </c>
      <c r="B72">
        <v>0</v>
      </c>
      <c r="C72">
        <v>0.14285714285714279</v>
      </c>
      <c r="D72">
        <v>0.16666666666666671</v>
      </c>
      <c r="E72">
        <v>0.23809523809523811</v>
      </c>
      <c r="F72">
        <v>0.25238095238095237</v>
      </c>
      <c r="G72">
        <v>0.32380952380952382</v>
      </c>
    </row>
    <row r="73" spans="1:7" x14ac:dyDescent="0.15">
      <c r="A73" t="str">
        <f>HYPERLINK("./new_k5/query_cmdrels_weight_analyze/0.5_0.1_0.4/au_259354.xlsx","au_259354")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0.5714285714285714</v>
      </c>
    </row>
    <row r="74" spans="1:7" x14ac:dyDescent="0.15">
      <c r="A74" t="str">
        <f>HYPERLINK("./new_k5/query_cmdrels_weight_analyze/0.5_0.1_0.4/au_263378.xlsx","au_263378")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0.47499999999999998</v>
      </c>
    </row>
    <row r="75" spans="1:7" x14ac:dyDescent="0.15">
      <c r="A75" t="str">
        <f>HYPERLINK("./new_k5/query_cmdrels_weight_analyze/0.5_0.1_0.4/au_264215.xlsx","au_264215")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HYPERLINK("./new_k5/query_cmdrels_weight_analyze/0.5_0.1_0.4/au_265176.xlsx","au_265176")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HYPERLINK("./new_k5/query_cmdrels_weight_analyze/0.5_0.1_0.4/au_275704.xlsx","au_275704")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HYPERLINK("./new_k5/query_cmdrels_weight_analyze/0.5_0.1_0.4/au_276669.xlsx","au_276669")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HYPERLINK("./new_k5/query_cmdrels_weight_analyze/0.5_0.1_0.4/au_277565.xlsx","au_277565")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HYPERLINK("./new_k5/query_cmdrels_weight_analyze/0.5_0.1_0.4/au_278403.xlsx","au_278403")</f>
        <v>au_278403</v>
      </c>
      <c r="B80">
        <v>0</v>
      </c>
      <c r="C80">
        <v>0</v>
      </c>
      <c r="D80">
        <v>8.3333333333333329E-2</v>
      </c>
      <c r="E80">
        <v>8.3333333333333329E-2</v>
      </c>
      <c r="F80">
        <v>0.20833333333333329</v>
      </c>
      <c r="G80">
        <v>0.20833333333333329</v>
      </c>
    </row>
    <row r="81" spans="1:7" x14ac:dyDescent="0.15">
      <c r="A81" t="str">
        <f>HYPERLINK("./new_k5/query_cmdrels_weight_analyze/0.5_0.1_0.4/au_28039.xlsx","au_28039")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HYPERLINK("./new_k5/query_cmdrels_weight_analyze/0.5_0.1_0.4/au_281509.xlsx","au_281509")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HYPERLINK("./new_k5/query_cmdrels_weight_analyze/0.5_0.1_0.4/au_282806.xlsx","au_282806")</f>
        <v>au_282806</v>
      </c>
      <c r="B83">
        <v>0</v>
      </c>
      <c r="C83">
        <v>0</v>
      </c>
      <c r="D83">
        <v>0.38888888888888878</v>
      </c>
      <c r="E83">
        <v>0.1111111111111111</v>
      </c>
      <c r="F83">
        <v>0.38888888888888878</v>
      </c>
      <c r="G83">
        <v>0.24444444444444449</v>
      </c>
    </row>
    <row r="84" spans="1:7" x14ac:dyDescent="0.15">
      <c r="A84" t="str">
        <f>HYPERLINK("./new_k5/query_cmdrels_weight_analyze/0.5_0.1_0.4/au_283559.xlsx","au_283559")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HYPERLINK("./new_k5/query_cmdrels_weight_analyze/0.5_0.1_0.4/au_285539.xlsx","au_285539")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HYPERLINK("./new_k5/query_cmdrels_weight_analyze/0.5_0.1_0.4/au_287532.xlsx","au_287532")</f>
        <v>au_287532</v>
      </c>
      <c r="B86">
        <v>0</v>
      </c>
      <c r="C86">
        <v>0</v>
      </c>
      <c r="D86">
        <v>0</v>
      </c>
      <c r="E86">
        <v>8.3333333333333329E-2</v>
      </c>
      <c r="F86">
        <v>0</v>
      </c>
      <c r="G86">
        <v>8.3333333333333329E-2</v>
      </c>
    </row>
    <row r="87" spans="1:7" x14ac:dyDescent="0.15">
      <c r="A87" t="str">
        <f>HYPERLINK("./new_k5/query_cmdrels_weight_analyze/0.5_0.1_0.4/au_294257.xlsx","au_294257")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HYPERLINK("./new_k5/query_cmdrels_weight_analyze/0.5_0.1_0.4/au_296155.xlsx","au_296155")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HYPERLINK("./new_k5/query_cmdrels_weight_analyze/0.5_0.1_0.4/au_299975.xlsx","au_299975")</f>
        <v>au_299975</v>
      </c>
      <c r="B89">
        <v>0.25</v>
      </c>
      <c r="C89">
        <v>0</v>
      </c>
      <c r="D89">
        <v>0.5</v>
      </c>
      <c r="E89">
        <v>8.3333333333333329E-2</v>
      </c>
      <c r="F89">
        <v>0.6875</v>
      </c>
      <c r="G89">
        <v>8.3333333333333329E-2</v>
      </c>
    </row>
    <row r="90" spans="1:7" x14ac:dyDescent="0.15">
      <c r="A90" t="str">
        <f>HYPERLINK("./new_k5/query_cmdrels_weight_analyze/0.5_0.1_0.4/au_301096.xlsx","au_301096")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HYPERLINK("./new_k5/query_cmdrels_weight_analyze/0.5_0.1_0.4/au_303593.xlsx","au_303593")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HYPERLINK("./new_k5/query_cmdrels_weight_analyze/0.5_0.1_0.4/au_303849.xlsx","au_303849")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HYPERLINK("./new_k5/query_cmdrels_weight_analyze/0.5_0.1_0.4/au_307541.xlsx","au_307541")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HYPERLINK("./new_k5/query_cmdrels_weight_analyze/0.5_0.1_0.4/au_307688.xlsx","au_307688")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HYPERLINK("./new_k5/query_cmdrels_weight_analyze/0.5_0.1_0.4/au_309047.xlsx","au_309047")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HYPERLINK("./new_k5/query_cmdrels_weight_analyze/0.5_0.1_0.4/au_311558.xlsx","au_311558")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0.60416666666666663</v>
      </c>
    </row>
    <row r="97" spans="1:7" x14ac:dyDescent="0.15">
      <c r="A97" t="str">
        <f>HYPERLINK("./new_k5/query_cmdrels_weight_analyze/0.5_0.1_0.4/au_318973.xlsx","au_318973")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HYPERLINK("./new_k5/query_cmdrels_weight_analyze/0.5_0.1_0.4/au_3205.xlsx","au_3205")</f>
        <v>au_3205</v>
      </c>
      <c r="B98">
        <v>0.5</v>
      </c>
      <c r="C98">
        <v>0.5</v>
      </c>
      <c r="D98">
        <v>0.5</v>
      </c>
      <c r="E98">
        <v>0.5</v>
      </c>
      <c r="F98">
        <v>0.5</v>
      </c>
      <c r="G98">
        <v>0.75</v>
      </c>
    </row>
    <row r="99" spans="1:7" x14ac:dyDescent="0.15">
      <c r="A99" t="str">
        <f>HYPERLINK("./new_k5/query_cmdrels_weight_analyze/0.5_0.1_0.4/au_323131.xlsx","au_323131")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0.55555555555555547</v>
      </c>
      <c r="F99">
        <v>0.33333333333333331</v>
      </c>
      <c r="G99">
        <v>0.55555555555555547</v>
      </c>
    </row>
    <row r="100" spans="1:7" x14ac:dyDescent="0.15">
      <c r="A100" t="str">
        <f>HYPERLINK("./new_k5/query_cmdrels_weight_analyze/0.5_0.1_0.4/au_323392.xlsx","au_323392")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HYPERLINK("./new_k5/query_cmdrels_weight_analyze/0.5_0.1_0.4/au_325368.xlsx","au_325368")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HYPERLINK("./new_k5/query_cmdrels_weight_analyze/0.5_0.1_0.4/au_328162.xlsx","au_328162")</f>
        <v>au_328162</v>
      </c>
      <c r="B102">
        <v>0.33333333333333331</v>
      </c>
      <c r="C102">
        <v>0.33333333333333331</v>
      </c>
      <c r="D102">
        <v>1</v>
      </c>
      <c r="E102">
        <v>0.66666666666666663</v>
      </c>
      <c r="F102">
        <v>1</v>
      </c>
      <c r="G102">
        <v>0.66666666666666663</v>
      </c>
    </row>
    <row r="103" spans="1:7" x14ac:dyDescent="0.15">
      <c r="A103" t="str">
        <f>HYPERLINK("./new_k5/query_cmdrels_weight_analyze/0.5_0.1_0.4/au_330148.xlsx","au_330148")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HYPERLINK("./new_k5/query_cmdrels_weight_analyze/0.5_0.1_0.4/au_332315.xlsx","au_332315")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HYPERLINK("./new_k5/query_cmdrels_weight_analyze/0.5_0.1_0.4/au_334081.xlsx","au_334081")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HYPERLINK("./new_k5/query_cmdrels_weight_analyze/0.5_0.1_0.4/au_34077.xlsx","au_34077")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0.5</v>
      </c>
      <c r="F106">
        <v>0.33333333333333331</v>
      </c>
      <c r="G106">
        <v>0.6333333333333333</v>
      </c>
    </row>
    <row r="107" spans="1:7" x14ac:dyDescent="0.15">
      <c r="A107" t="str">
        <f>HYPERLINK("./new_k5/query_cmdrels_weight_analyze/0.5_0.1_0.4/au_341428.xlsx","au_341428")</f>
        <v>au_341428</v>
      </c>
      <c r="B107">
        <v>0.14285714285714279</v>
      </c>
      <c r="C107">
        <v>0</v>
      </c>
      <c r="D107">
        <v>0.42857142857142849</v>
      </c>
      <c r="E107">
        <v>0.16666666666666671</v>
      </c>
      <c r="F107">
        <v>0.5714285714285714</v>
      </c>
      <c r="G107">
        <v>0.16666666666666671</v>
      </c>
    </row>
    <row r="108" spans="1:7" x14ac:dyDescent="0.15">
      <c r="A108" t="str">
        <f>HYPERLINK("./new_k5/query_cmdrels_weight_analyze/0.5_0.1_0.4/au_341584.xlsx","au_341584")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HYPERLINK("./new_k5/query_cmdrels_weight_analyze/0.5_0.1_0.4/au_346864.xlsx","au_346864")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0.2857142857142857</v>
      </c>
      <c r="F109">
        <v>0.23809523809523811</v>
      </c>
      <c r="G109">
        <v>0.39285714285714279</v>
      </c>
    </row>
    <row r="110" spans="1:7" x14ac:dyDescent="0.15">
      <c r="A110" t="str">
        <f>HYPERLINK("./new_k5/query_cmdrels_weight_analyze/0.5_0.1_0.4/au_351765.xlsx","au_351765")</f>
        <v>au_351765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15">
      <c r="A111" t="str">
        <f>HYPERLINK("./new_k5/query_cmdrels_weight_analyze/0.5_0.1_0.4/au_35922.xlsx","au_35922")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HYPERLINK("./new_k5/query_cmdrels_weight_analyze/0.5_0.1_0.4/au_359856.xlsx","au_359856")</f>
        <v>au_359856</v>
      </c>
      <c r="B112">
        <v>0.25</v>
      </c>
      <c r="C112">
        <v>0.25</v>
      </c>
      <c r="D112">
        <v>0.75</v>
      </c>
      <c r="E112">
        <v>0.5</v>
      </c>
      <c r="F112">
        <v>0.95</v>
      </c>
      <c r="G112">
        <v>0.5</v>
      </c>
    </row>
    <row r="113" spans="1:7" x14ac:dyDescent="0.15">
      <c r="A113" t="str">
        <f>HYPERLINK("./new_k5/query_cmdrels_weight_analyze/0.5_0.1_0.4/au_360423.xlsx","au_360423")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HYPERLINK("./new_k5/query_cmdrels_weight_analyze/0.5_0.1_0.4/au_36287.xlsx","au_36287")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HYPERLINK("./new_k5/query_cmdrels_weight_analyze/0.5_0.1_0.4/au_366742.xlsx","au_366742")</f>
        <v>au_366742</v>
      </c>
      <c r="B115">
        <v>0</v>
      </c>
      <c r="C115">
        <v>0</v>
      </c>
      <c r="D115">
        <v>0</v>
      </c>
      <c r="E115">
        <v>8.3333333333333329E-2</v>
      </c>
      <c r="F115">
        <v>0</v>
      </c>
      <c r="G115">
        <v>0.20833333333333329</v>
      </c>
    </row>
    <row r="116" spans="1:7" x14ac:dyDescent="0.15">
      <c r="A116" t="str">
        <f>HYPERLINK("./new_k5/query_cmdrels_weight_analyze/0.5_0.1_0.4/au_377937.xlsx","au_377937")</f>
        <v>au_377937</v>
      </c>
      <c r="B116">
        <v>0.25</v>
      </c>
      <c r="C116">
        <v>0.25</v>
      </c>
      <c r="D116">
        <v>0.5</v>
      </c>
      <c r="E116">
        <v>0.75</v>
      </c>
      <c r="F116">
        <v>0.5</v>
      </c>
      <c r="G116">
        <v>0.75</v>
      </c>
    </row>
    <row r="117" spans="1:7" x14ac:dyDescent="0.15">
      <c r="A117" t="str">
        <f>HYPERLINK("./new_k5/query_cmdrels_weight_analyze/0.5_0.1_0.4/au_383997.xlsx","au_383997")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0.50714285714285712</v>
      </c>
    </row>
    <row r="118" spans="1:7" x14ac:dyDescent="0.15">
      <c r="A118" t="str">
        <f>HYPERLINK("./new_k5/query_cmdrels_weight_analyze/0.5_0.1_0.4/au_3883.xlsx","au_3883")</f>
        <v>au_3883</v>
      </c>
      <c r="B118">
        <v>0.25</v>
      </c>
      <c r="C118">
        <v>0.25</v>
      </c>
      <c r="D118">
        <v>0.25</v>
      </c>
      <c r="E118">
        <v>0.5</v>
      </c>
      <c r="F118">
        <v>0.375</v>
      </c>
      <c r="G118">
        <v>0.5</v>
      </c>
    </row>
    <row r="119" spans="1:7" x14ac:dyDescent="0.15">
      <c r="A119" t="str">
        <f>HYPERLINK("./new_k5/query_cmdrels_weight_analyze/0.5_0.1_0.4/au_396883.xlsx","au_396883")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HYPERLINK("./new_k5/query_cmdrels_weight_analyze/0.5_0.1_0.4/au_39760.xlsx","au_39760")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HYPERLINK("./new_k5/query_cmdrels_weight_analyze/0.5_0.1_0.4/au_398818.xlsx","au_398818")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HYPERLINK("./new_k5/query_cmdrels_weight_analyze/0.5_0.1_0.4/au_400807.xlsx","au_400807")</f>
        <v>au_400807</v>
      </c>
      <c r="B122">
        <v>0</v>
      </c>
      <c r="C122">
        <v>0.33333333333333331</v>
      </c>
      <c r="D122">
        <v>0.16666666666666671</v>
      </c>
      <c r="E122">
        <v>0.55555555555555547</v>
      </c>
      <c r="F122">
        <v>0.16666666666666671</v>
      </c>
      <c r="G122">
        <v>0.80555555555555547</v>
      </c>
    </row>
    <row r="123" spans="1:7" x14ac:dyDescent="0.15">
      <c r="A123" t="str">
        <f>HYPERLINK("./new_k5/query_cmdrels_weight_analyze/0.5_0.1_0.4/au_408611.xlsx","au_408611")</f>
        <v>au_408611</v>
      </c>
      <c r="B123">
        <v>0.33333333333333331</v>
      </c>
      <c r="C123">
        <v>0</v>
      </c>
      <c r="D123">
        <v>0.33333333333333331</v>
      </c>
      <c r="E123">
        <v>0.16666666666666671</v>
      </c>
      <c r="F123">
        <v>0.33333333333333331</v>
      </c>
      <c r="G123">
        <v>0.16666666666666671</v>
      </c>
    </row>
    <row r="124" spans="1:7" x14ac:dyDescent="0.15">
      <c r="A124" t="str">
        <f>HYPERLINK("./new_k5/query_cmdrels_weight_analyze/0.5_0.1_0.4/au_414737.xlsx","au_414737")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HYPERLINK("./new_k5/query_cmdrels_weight_analyze/0.5_0.1_0.4/au_420722.xlsx","au_420722")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0.55555555555555547</v>
      </c>
      <c r="F125">
        <v>0.66666666666666663</v>
      </c>
      <c r="G125">
        <v>0.55555555555555547</v>
      </c>
    </row>
    <row r="126" spans="1:7" x14ac:dyDescent="0.15">
      <c r="A126" t="str">
        <f>HYPERLINK("./new_k5/query_cmdrels_weight_analyze/0.5_0.1_0.4/au_423942.xlsx","au_423942")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0.55555555555555547</v>
      </c>
      <c r="F126">
        <v>0.8666666666666667</v>
      </c>
      <c r="G126">
        <v>0.55555555555555547</v>
      </c>
    </row>
    <row r="127" spans="1:7" x14ac:dyDescent="0.15">
      <c r="A127" t="str">
        <f>HYPERLINK("./new_k5/query_cmdrels_weight_analyze/0.5_0.1_0.4/au_430382.xlsx","au_430382")</f>
        <v>au_430382</v>
      </c>
      <c r="B127">
        <v>0</v>
      </c>
      <c r="C127">
        <v>0.25</v>
      </c>
      <c r="D127">
        <v>0.29166666666666657</v>
      </c>
      <c r="E127">
        <v>0.41666666666666657</v>
      </c>
      <c r="F127">
        <v>0.29166666666666657</v>
      </c>
      <c r="G127">
        <v>0.41666666666666657</v>
      </c>
    </row>
    <row r="128" spans="1:7" x14ac:dyDescent="0.15">
      <c r="A128" t="str">
        <f>HYPERLINK("./new_k5/query_cmdrels_weight_analyze/0.5_0.1_0.4/au_432836.xlsx","au_432836")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HYPERLINK("./new_k5/query_cmdrels_weight_analyze/0.5_0.1_0.4/au_440326.xlsx","au_440326")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HYPERLINK("./new_k5/query_cmdrels_weight_analyze/0.5_0.1_0.4/au_442914.xlsx","au_442914")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HYPERLINK("./new_k5/query_cmdrels_weight_analyze/0.5_0.1_0.4/au_443227.xlsx","au_443227")</f>
        <v>au_443227</v>
      </c>
      <c r="B131">
        <v>0.5</v>
      </c>
      <c r="C131">
        <v>0.5</v>
      </c>
      <c r="D131">
        <v>0.5</v>
      </c>
      <c r="E131">
        <v>0.5</v>
      </c>
      <c r="F131">
        <v>0.5</v>
      </c>
      <c r="G131">
        <v>0.5</v>
      </c>
    </row>
    <row r="132" spans="1:7" x14ac:dyDescent="0.15">
      <c r="A132" t="str">
        <f>HYPERLINK("./new_k5/query_cmdrels_weight_analyze/0.5_0.1_0.4/au_44534.xlsx","au_44534")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HYPERLINK("./new_k5/query_cmdrels_weight_analyze/0.5_0.1_0.4/au_451805.xlsx","au_451805")</f>
        <v>au_451805</v>
      </c>
      <c r="B133">
        <v>0.33333333333333331</v>
      </c>
      <c r="C133">
        <v>0</v>
      </c>
      <c r="D133">
        <v>0.33333333333333331</v>
      </c>
      <c r="E133">
        <v>0.1111111111111111</v>
      </c>
      <c r="F133">
        <v>0.33333333333333331</v>
      </c>
      <c r="G133">
        <v>0.1111111111111111</v>
      </c>
    </row>
    <row r="134" spans="1:7" x14ac:dyDescent="0.15">
      <c r="A134" t="str">
        <f>HYPERLINK("./new_k5/query_cmdrels_weight_analyze/0.5_0.1_0.4/au_464264.xlsx","au_464264")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0.16666666666666671</v>
      </c>
    </row>
    <row r="135" spans="1:7" x14ac:dyDescent="0.15">
      <c r="A135" t="str">
        <f>HYPERLINK("./new_k5/query_cmdrels_weight_analyze/0.5_0.1_0.4/au_468808.xlsx","au_468808")</f>
        <v>au_468808</v>
      </c>
      <c r="B135">
        <v>0.2</v>
      </c>
      <c r="C135">
        <v>0</v>
      </c>
      <c r="D135">
        <v>0.4</v>
      </c>
      <c r="E135">
        <v>6.6666666666666666E-2</v>
      </c>
      <c r="F135">
        <v>0.4</v>
      </c>
      <c r="G135">
        <v>0.1466666666666667</v>
      </c>
    </row>
    <row r="136" spans="1:7" x14ac:dyDescent="0.15">
      <c r="A136" t="str">
        <f>HYPERLINK("./new_k5/query_cmdrels_weight_analyze/0.5_0.1_0.4/au_469143.xlsx","au_469143")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0.33333333333333331</v>
      </c>
    </row>
    <row r="137" spans="1:7" x14ac:dyDescent="0.15">
      <c r="A137" t="str">
        <f>HYPERLINK("./new_k5/query_cmdrels_weight_analyze/0.5_0.1_0.4/au_470237.xlsx","au_470237")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HYPERLINK("./new_k5/query_cmdrels_weight_analyze/0.5_0.1_0.4/au_473037.xlsx","au_473037")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</v>
      </c>
    </row>
    <row r="139" spans="1:7" x14ac:dyDescent="0.15">
      <c r="A139" t="str">
        <f>HYPERLINK("./new_k5/query_cmdrels_weight_analyze/0.5_0.1_0.4/au_48362.xlsx","au_48362")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HYPERLINK("./new_k5/query_cmdrels_weight_analyze/0.5_0.1_0.4/au_488435.xlsx","au_488435")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HYPERLINK("./new_k5/query_cmdrels_weight_analyze/0.5_0.1_0.4/au_493826.xlsx","au_493826")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HYPERLINK("./new_k5/query_cmdrels_weight_analyze/0.5_0.1_0.4/au_502110.xlsx","au_502110")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HYPERLINK("./new_k5/query_cmdrels_weight_analyze/0.5_0.1_0.4/au_50344.xlsx","au_50344")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HYPERLINK("./new_k5/query_cmdrels_weight_analyze/0.5_0.1_0.4/au_511467.xlsx","au_511467")</f>
        <v>au_511467</v>
      </c>
      <c r="B144">
        <v>0</v>
      </c>
      <c r="C144">
        <v>0.16666666666666671</v>
      </c>
      <c r="D144">
        <v>0.19444444444444439</v>
      </c>
      <c r="E144">
        <v>0.16666666666666671</v>
      </c>
      <c r="F144">
        <v>0.19444444444444439</v>
      </c>
      <c r="G144">
        <v>0.16666666666666671</v>
      </c>
    </row>
    <row r="145" spans="1:7" x14ac:dyDescent="0.15">
      <c r="A145" t="str">
        <f>HYPERLINK("./new_k5/query_cmdrels_weight_analyze/0.5_0.1_0.4/au_513046.xlsx","au_513046")</f>
        <v>au_513046</v>
      </c>
      <c r="B145">
        <v>0.25</v>
      </c>
      <c r="C145">
        <v>0</v>
      </c>
      <c r="D145">
        <v>0.5</v>
      </c>
      <c r="E145">
        <v>0.29166666666666657</v>
      </c>
      <c r="F145">
        <v>0.5</v>
      </c>
      <c r="G145">
        <v>0.44166666666666671</v>
      </c>
    </row>
    <row r="146" spans="1:7" x14ac:dyDescent="0.15">
      <c r="A146" t="str">
        <f>HYPERLINK("./new_k5/query_cmdrels_weight_analyze/0.5_0.1_0.4/au_517354.xlsx","au_517354")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0.14285714285714279</v>
      </c>
      <c r="F146">
        <v>0.2142857142857143</v>
      </c>
      <c r="G146">
        <v>0.2142857142857143</v>
      </c>
    </row>
    <row r="147" spans="1:7" x14ac:dyDescent="0.15">
      <c r="A147" t="str">
        <f>HYPERLINK("./new_k5/query_cmdrels_weight_analyze/0.5_0.1_0.4/au_522431.xlsx","au_522431")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0.23333333333333331</v>
      </c>
    </row>
    <row r="148" spans="1:7" x14ac:dyDescent="0.15">
      <c r="A148" t="str">
        <f>HYPERLINK("./new_k5/query_cmdrels_weight_analyze/0.5_0.1_0.4/au_52773.xlsx","au_52773")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0.04</v>
      </c>
    </row>
    <row r="149" spans="1:7" x14ac:dyDescent="0.15">
      <c r="A149" t="str">
        <f>HYPERLINK("./new_k5/query_cmdrels_weight_analyze/0.5_0.1_0.4/au_528411.xlsx","au_528411")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HYPERLINK("./new_k5/query_cmdrels_weight_analyze/0.5_0.1_0.4/au_53263.xlsx","au_53263")</f>
        <v>au_53263</v>
      </c>
      <c r="B150">
        <v>0.25</v>
      </c>
      <c r="C150">
        <v>0.25</v>
      </c>
      <c r="D150">
        <v>0.75</v>
      </c>
      <c r="E150">
        <v>0.5</v>
      </c>
      <c r="F150">
        <v>0.75</v>
      </c>
      <c r="G150">
        <v>0.6875</v>
      </c>
    </row>
    <row r="151" spans="1:7" x14ac:dyDescent="0.15">
      <c r="A151" t="str">
        <f>HYPERLINK("./new_k5/query_cmdrels_weight_analyze/0.5_0.1_0.4/au_53444.xlsx","au_53444")</f>
        <v>au_53444</v>
      </c>
      <c r="B151">
        <v>0.5</v>
      </c>
      <c r="C151">
        <v>0</v>
      </c>
      <c r="D151">
        <v>0.5</v>
      </c>
      <c r="E151">
        <v>0</v>
      </c>
      <c r="F151">
        <v>0.5</v>
      </c>
      <c r="G151">
        <v>0</v>
      </c>
    </row>
    <row r="152" spans="1:7" x14ac:dyDescent="0.15">
      <c r="A152" t="str">
        <f>HYPERLINK("./new_k5/query_cmdrels_weight_analyze/0.5_0.1_0.4/au_538208.xlsx","au_538208")</f>
        <v>au_538208</v>
      </c>
      <c r="B152">
        <v>0.125</v>
      </c>
      <c r="C152">
        <v>0.125</v>
      </c>
      <c r="D152">
        <v>0.375</v>
      </c>
      <c r="E152">
        <v>0.375</v>
      </c>
      <c r="F152">
        <v>0.5</v>
      </c>
      <c r="G152">
        <v>0.5</v>
      </c>
    </row>
    <row r="153" spans="1:7" x14ac:dyDescent="0.15">
      <c r="A153" t="str">
        <f>HYPERLINK("./new_k5/query_cmdrels_weight_analyze/0.5_0.1_0.4/au_53822.xlsx","au_53822")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HYPERLINK("./new_k5/query_cmdrels_weight_analyze/0.5_0.1_0.4/au_539243.xlsx","au_539243")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0.33333333333333331</v>
      </c>
    </row>
    <row r="155" spans="1:7" x14ac:dyDescent="0.15">
      <c r="A155" t="str">
        <f>HYPERLINK("./new_k5/query_cmdrels_weight_analyze/0.5_0.1_0.4/au_558280.xlsx","au_558280")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HYPERLINK("./new_k5/query_cmdrels_weight_analyze/0.5_0.1_0.4/au_558669.xlsx","au_558669")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HYPERLINK("./new_k5/query_cmdrels_weight_analyze/0.5_0.1_0.4/au_55868.xlsx","au_55868")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HYPERLINK("./new_k5/query_cmdrels_weight_analyze/0.5_0.1_0.4/au_561.xlsx","au_561")</f>
        <v>au_561</v>
      </c>
      <c r="B158">
        <v>0.25</v>
      </c>
      <c r="C158">
        <v>0.25</v>
      </c>
      <c r="D158">
        <v>0.25</v>
      </c>
      <c r="E158">
        <v>0.25</v>
      </c>
      <c r="F158">
        <v>0.25</v>
      </c>
      <c r="G158">
        <v>0.375</v>
      </c>
    </row>
    <row r="159" spans="1:7" x14ac:dyDescent="0.15">
      <c r="A159" t="str">
        <f>HYPERLINK("./new_k5/query_cmdrels_weight_analyze/0.5_0.1_0.4/au_564567.xlsx","au_564567")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HYPERLINK("./new_k5/query_cmdrels_weight_analyze/0.5_0.1_0.4/au_57994.xlsx","au_57994")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0.54285714285714282</v>
      </c>
    </row>
    <row r="161" spans="1:7" x14ac:dyDescent="0.15">
      <c r="A161" t="str">
        <f>HYPERLINK("./new_k5/query_cmdrels_weight_analyze/0.5_0.1_0.4/au_589210.xlsx","au_589210")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0.375</v>
      </c>
    </row>
    <row r="162" spans="1:7" x14ac:dyDescent="0.15">
      <c r="A162" t="str">
        <f>HYPERLINK("./new_k5/query_cmdrels_weight_analyze/0.5_0.1_0.4/au_5911.xlsx","au_5911")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HYPERLINK("./new_k5/query_cmdrels_weight_analyze/0.5_0.1_0.4/au_59356.xlsx","au_59356")</f>
        <v>au_59356</v>
      </c>
      <c r="B163">
        <v>0</v>
      </c>
      <c r="C163">
        <v>0</v>
      </c>
      <c r="D163">
        <v>0.16666666666666671</v>
      </c>
      <c r="E163">
        <v>0.16666666666666671</v>
      </c>
      <c r="F163">
        <v>0.16666666666666671</v>
      </c>
      <c r="G163">
        <v>0.16666666666666671</v>
      </c>
    </row>
    <row r="164" spans="1:7" x14ac:dyDescent="0.15">
      <c r="A164" t="str">
        <f>HYPERLINK("./new_k5/query_cmdrels_weight_analyze/0.5_0.1_0.4/au_609850.xlsx","au_609850")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HYPERLINK("./new_k5/query_cmdrels_weight_analyze/0.5_0.1_0.4/au_61408.xlsx","au_61408")</f>
        <v>au_61408</v>
      </c>
      <c r="B165">
        <v>0</v>
      </c>
      <c r="C165">
        <v>0.33333333333333331</v>
      </c>
      <c r="D165">
        <v>0.16666666666666671</v>
      </c>
      <c r="E165">
        <v>0.55555555555555547</v>
      </c>
      <c r="F165">
        <v>0.16666666666666671</v>
      </c>
      <c r="G165">
        <v>0.55555555555555547</v>
      </c>
    </row>
    <row r="166" spans="1:7" x14ac:dyDescent="0.15">
      <c r="A166" t="str">
        <f>HYPERLINK("./new_k5/query_cmdrels_weight_analyze/0.5_0.1_0.4/au_617850.xlsx","au_617850")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HYPERLINK("./new_k5/query_cmdrels_weight_analyze/0.5_0.1_0.4/au_62073.xlsx","au_62073")</f>
        <v>au_62073</v>
      </c>
      <c r="B167">
        <v>0</v>
      </c>
      <c r="C167">
        <v>0.2</v>
      </c>
      <c r="D167">
        <v>0.23333333333333331</v>
      </c>
      <c r="E167">
        <v>0.4</v>
      </c>
      <c r="F167">
        <v>0.23333333333333331</v>
      </c>
      <c r="G167">
        <v>0.71</v>
      </c>
    </row>
    <row r="168" spans="1:7" x14ac:dyDescent="0.15">
      <c r="A168" t="str">
        <f>HYPERLINK("./new_k5/query_cmdrels_weight_analyze/0.5_0.1_0.4/au_620930.xlsx","au_620930")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0.48333333333333328</v>
      </c>
    </row>
    <row r="169" spans="1:7" x14ac:dyDescent="0.15">
      <c r="A169" t="str">
        <f>HYPERLINK("./new_k5/query_cmdrels_weight_analyze/0.5_0.1_0.4/au_62492.xlsx","au_62492")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HYPERLINK("./new_k5/query_cmdrels_weight_analyze/0.5_0.1_0.4/au_626078.xlsx","au_626078")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HYPERLINK("./new_k5/query_cmdrels_weight_analyze/0.5_0.1_0.4/au_636944.xlsx","au_636944")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HYPERLINK("./new_k5/query_cmdrels_weight_analyze/0.5_0.1_0.4/au_648603.xlsx","au_648603")</f>
        <v>au_648603</v>
      </c>
      <c r="B172">
        <v>0.25</v>
      </c>
      <c r="C172">
        <v>0.25</v>
      </c>
      <c r="D172">
        <v>0.25</v>
      </c>
      <c r="E172">
        <v>0.41666666666666657</v>
      </c>
      <c r="F172">
        <v>0.25</v>
      </c>
      <c r="G172">
        <v>0.56666666666666665</v>
      </c>
    </row>
    <row r="173" spans="1:7" x14ac:dyDescent="0.15">
      <c r="A173" t="str">
        <f>HYPERLINK("./new_k5/query_cmdrels_weight_analyze/0.5_0.1_0.4/au_65331.xlsx","au_65331")</f>
        <v>au_65331</v>
      </c>
      <c r="B173">
        <v>0</v>
      </c>
      <c r="C173">
        <v>0</v>
      </c>
      <c r="D173">
        <v>8.3333333333333329E-2</v>
      </c>
      <c r="E173">
        <v>0.19444444444444439</v>
      </c>
      <c r="F173">
        <v>0.16666666666666671</v>
      </c>
      <c r="G173">
        <v>0.31944444444444442</v>
      </c>
    </row>
    <row r="174" spans="1:7" x14ac:dyDescent="0.15">
      <c r="A174" t="str">
        <f>HYPERLINK("./new_k5/query_cmdrels_weight_analyze/0.5_0.1_0.4/au_66000.xlsx","au_66000")</f>
        <v>au_66000</v>
      </c>
      <c r="B174">
        <v>0</v>
      </c>
      <c r="C174">
        <v>0.2</v>
      </c>
      <c r="D174">
        <v>0</v>
      </c>
      <c r="E174">
        <v>0.4</v>
      </c>
      <c r="F174">
        <v>0</v>
      </c>
      <c r="G174">
        <v>0.71</v>
      </c>
    </row>
    <row r="175" spans="1:7" x14ac:dyDescent="0.15">
      <c r="A175" t="str">
        <f>HYPERLINK("./new_k5/query_cmdrels_weight_analyze/0.5_0.1_0.4/au_660846.xlsx","au_660846")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HYPERLINK("./new_k5/query_cmdrels_weight_analyze/0.5_0.1_0.4/au_662935.xlsx","au_662935")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0.25</v>
      </c>
    </row>
    <row r="177" spans="1:7" x14ac:dyDescent="0.15">
      <c r="A177" t="str">
        <f>HYPERLINK("./new_k5/query_cmdrels_weight_analyze/0.5_0.1_0.4/au_67663.xlsx","au_67663")</f>
        <v>au_67663</v>
      </c>
      <c r="B177">
        <v>0</v>
      </c>
      <c r="C177">
        <v>0.25</v>
      </c>
      <c r="D177">
        <v>0.29166666666666657</v>
      </c>
      <c r="E177">
        <v>0.5</v>
      </c>
      <c r="F177">
        <v>0.29166666666666657</v>
      </c>
      <c r="G177">
        <v>0.5</v>
      </c>
    </row>
    <row r="178" spans="1:7" x14ac:dyDescent="0.15">
      <c r="A178" t="str">
        <f>HYPERLINK("./new_k5/query_cmdrels_weight_analyze/0.5_0.1_0.4/au_68028.xlsx","au_68028")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0.23809523809523811</v>
      </c>
      <c r="F178">
        <v>0.37142857142857139</v>
      </c>
      <c r="G178">
        <v>0.23809523809523811</v>
      </c>
    </row>
    <row r="179" spans="1:7" x14ac:dyDescent="0.15">
      <c r="A179" t="str">
        <f>HYPERLINK("./new_k5/query_cmdrels_weight_analyze/0.5_0.1_0.4/au_681312.xlsx","au_681312")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0.42857142857142849</v>
      </c>
      <c r="F179">
        <v>0.42857142857142849</v>
      </c>
      <c r="G179">
        <v>0.5714285714285714</v>
      </c>
    </row>
    <row r="180" spans="1:7" x14ac:dyDescent="0.15">
      <c r="A180" t="str">
        <f>HYPERLINK("./new_k5/query_cmdrels_weight_analyze/0.5_0.1_0.4/au_686239.xlsx","au_686239")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15">
      <c r="A181" t="str">
        <f>HYPERLINK("./new_k5/query_cmdrels_weight_analyze/0.5_0.1_0.4/au_68809.xlsx","au_68809")</f>
        <v>au_68809</v>
      </c>
      <c r="B181">
        <v>0.125</v>
      </c>
      <c r="C181">
        <v>0.125</v>
      </c>
      <c r="D181">
        <v>0.20833333333333329</v>
      </c>
      <c r="E181">
        <v>0.25</v>
      </c>
      <c r="F181">
        <v>0.28333333333333333</v>
      </c>
      <c r="G181">
        <v>0.25</v>
      </c>
    </row>
    <row r="182" spans="1:7" x14ac:dyDescent="0.15">
      <c r="A182" t="str">
        <f>HYPERLINK("./new_k5/query_cmdrels_weight_analyze/0.5_0.1_0.4/au_69556.xlsx","au_69556")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HYPERLINK("./new_k5/query_cmdrels_weight_analyze/0.5_0.1_0.4/au_698993.xlsx","au_698993")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HYPERLINK("./new_k5/query_cmdrels_weight_analyze/0.5_0.1_0.4/au_707881.xlsx","au_707881")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0.16666666666666671</v>
      </c>
    </row>
    <row r="185" spans="1:7" x14ac:dyDescent="0.15">
      <c r="A185" t="str">
        <f>HYPERLINK("./new_k5/query_cmdrels_weight_analyze/0.5_0.1_0.4/au_709594.xlsx","au_709594")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HYPERLINK("./new_k5/query_cmdrels_weight_analyze/0.5_0.1_0.4/au_71309.xlsx","au_71309")</f>
        <v>au_71309</v>
      </c>
      <c r="B186">
        <v>0.125</v>
      </c>
      <c r="C186">
        <v>0.125</v>
      </c>
      <c r="D186">
        <v>0.20833333333333329</v>
      </c>
      <c r="E186">
        <v>0.20833333333333329</v>
      </c>
      <c r="F186">
        <v>0.20833333333333329</v>
      </c>
      <c r="G186">
        <v>0.30208333333333331</v>
      </c>
    </row>
    <row r="187" spans="1:7" x14ac:dyDescent="0.15">
      <c r="A187" t="str">
        <f>HYPERLINK("./new_k5/query_cmdrels_weight_analyze/0.5_0.1_0.4/au_7138.xlsx","au_7138")</f>
        <v>au_7138</v>
      </c>
      <c r="B187">
        <v>0.25</v>
      </c>
      <c r="C187">
        <v>0</v>
      </c>
      <c r="D187">
        <v>0.75</v>
      </c>
      <c r="E187">
        <v>8.3333333333333329E-2</v>
      </c>
      <c r="F187">
        <v>0.75</v>
      </c>
      <c r="G187">
        <v>0.20833333333333329</v>
      </c>
    </row>
    <row r="188" spans="1:7" x14ac:dyDescent="0.15">
      <c r="A188" t="str">
        <f>HYPERLINK("./new_k5/query_cmdrels_weight_analyze/0.5_0.1_0.4/au_72549.xlsx","au_72549")</f>
        <v>au_72549</v>
      </c>
      <c r="B188">
        <v>0</v>
      </c>
      <c r="C188">
        <v>0</v>
      </c>
      <c r="D188">
        <v>0</v>
      </c>
      <c r="E188">
        <v>8.3333333333333329E-2</v>
      </c>
      <c r="F188">
        <v>0</v>
      </c>
      <c r="G188">
        <v>8.3333333333333329E-2</v>
      </c>
    </row>
    <row r="189" spans="1:7" x14ac:dyDescent="0.15">
      <c r="A189" t="str">
        <f>HYPERLINK("./new_k5/query_cmdrels_weight_analyze/0.5_0.1_0.4/au_740805.xlsx","au_740805")</f>
        <v>au_740805</v>
      </c>
      <c r="B189">
        <v>0.25</v>
      </c>
      <c r="C189">
        <v>0</v>
      </c>
      <c r="D189">
        <v>0.41666666666666657</v>
      </c>
      <c r="E189">
        <v>0.125</v>
      </c>
      <c r="F189">
        <v>0.41666666666666657</v>
      </c>
      <c r="G189">
        <v>0.22500000000000001</v>
      </c>
    </row>
    <row r="190" spans="1:7" x14ac:dyDescent="0.15">
      <c r="A190" t="str">
        <f>HYPERLINK("./new_k5/query_cmdrels_weight_analyze/0.5_0.1_0.4/au_760796.xlsx","au_760796")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0.4</v>
      </c>
    </row>
    <row r="191" spans="1:7" x14ac:dyDescent="0.15">
      <c r="A191" t="str">
        <f>HYPERLINK("./new_k5/query_cmdrels_weight_analyze/0.5_0.1_0.4/au_762846.xlsx","au_762846")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0.43333333333333329</v>
      </c>
    </row>
    <row r="192" spans="1:7" x14ac:dyDescent="0.15">
      <c r="A192" t="str">
        <f>HYPERLINK("./new_k5/query_cmdrels_weight_analyze/0.5_0.1_0.4/au_767786.xlsx","au_767786")</f>
        <v>au_767786</v>
      </c>
      <c r="B192">
        <v>0.2</v>
      </c>
      <c r="C192">
        <v>0.2</v>
      </c>
      <c r="D192">
        <v>0.4</v>
      </c>
      <c r="E192">
        <v>0.4</v>
      </c>
      <c r="F192">
        <v>0.4</v>
      </c>
      <c r="G192">
        <v>0.4</v>
      </c>
    </row>
    <row r="193" spans="1:7" x14ac:dyDescent="0.15">
      <c r="A193" t="str">
        <f>HYPERLINK("./new_k5/query_cmdrels_weight_analyze/0.5_0.1_0.4/au_778906.xlsx","au_778906")</f>
        <v>au_778906</v>
      </c>
      <c r="B193">
        <v>0.2</v>
      </c>
      <c r="C193">
        <v>0.2</v>
      </c>
      <c r="D193">
        <v>0.33333333333333331</v>
      </c>
      <c r="E193">
        <v>0.33333333333333331</v>
      </c>
      <c r="F193">
        <v>0.33333333333333331</v>
      </c>
      <c r="G193">
        <v>0.48333333333333328</v>
      </c>
    </row>
    <row r="194" spans="1:7" x14ac:dyDescent="0.15">
      <c r="A194" t="str">
        <f>HYPERLINK("./new_k5/query_cmdrels_weight_analyze/0.5_0.1_0.4/au_818929.xlsx","au_818929")</f>
        <v>au_818929</v>
      </c>
      <c r="B194">
        <v>0</v>
      </c>
      <c r="C194">
        <v>0.2</v>
      </c>
      <c r="D194">
        <v>0</v>
      </c>
      <c r="E194">
        <v>0.33333333333333331</v>
      </c>
      <c r="F194">
        <v>0</v>
      </c>
      <c r="G194">
        <v>0.33333333333333331</v>
      </c>
    </row>
    <row r="195" spans="1:7" x14ac:dyDescent="0.15">
      <c r="A195" t="str">
        <f>HYPERLINK("./new_k5/query_cmdrels_weight_analyze/0.5_0.1_0.4/au_844876.xlsx","au_844876")</f>
        <v>au_844876</v>
      </c>
      <c r="B195">
        <v>0.5</v>
      </c>
      <c r="C195">
        <v>0.5</v>
      </c>
      <c r="D195">
        <v>0.5</v>
      </c>
      <c r="E195">
        <v>1</v>
      </c>
      <c r="F195">
        <v>0.5</v>
      </c>
      <c r="G195">
        <v>1</v>
      </c>
    </row>
    <row r="196" spans="1:7" x14ac:dyDescent="0.15">
      <c r="A196" t="str">
        <f>HYPERLINK("./new_k5/query_cmdrels_weight_analyze/0.5_0.1_0.4/au_85318.xlsx","au_85318")</f>
        <v>au_85318</v>
      </c>
      <c r="B196">
        <v>0.2</v>
      </c>
      <c r="C196">
        <v>0.2</v>
      </c>
      <c r="D196">
        <v>0.6</v>
      </c>
      <c r="E196">
        <v>0.6</v>
      </c>
      <c r="F196">
        <v>0.6</v>
      </c>
      <c r="G196">
        <v>0.6</v>
      </c>
    </row>
    <row r="197" spans="1:7" x14ac:dyDescent="0.15">
      <c r="A197" t="str">
        <f>HYPERLINK("./new_k5/query_cmdrels_weight_analyze/0.5_0.1_0.4/au_854332.xlsx","au_854332")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HYPERLINK("./new_k5/query_cmdrels_weight_analyze/0.5_0.1_0.4/au_854373.xlsx","au_854373")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</v>
      </c>
    </row>
    <row r="199" spans="1:7" x14ac:dyDescent="0.15">
      <c r="A199" t="str">
        <f>HYPERLINK("./new_k5/query_cmdrels_weight_analyze/0.5_0.1_0.4/au_86843.xlsx","au_86843")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HYPERLINK("./new_k5/query_cmdrels_weight_analyze/0.5_0.1_0.4/au_88108.xlsx","au_88108")</f>
        <v>au_88108</v>
      </c>
      <c r="B200">
        <v>0</v>
      </c>
      <c r="C200">
        <v>0</v>
      </c>
      <c r="D200">
        <v>0.1</v>
      </c>
      <c r="E200">
        <v>6.6666666666666666E-2</v>
      </c>
      <c r="F200">
        <v>0.1</v>
      </c>
      <c r="G200">
        <v>0.1466666666666667</v>
      </c>
    </row>
    <row r="201" spans="1:7" x14ac:dyDescent="0.15">
      <c r="A201" t="str">
        <f>HYPERLINK("./new_k5/query_cmdrels_weight_analyze/0.5_0.1_0.4/au_90214.xlsx","au_90214")</f>
        <v>au_90214</v>
      </c>
      <c r="B201">
        <v>0</v>
      </c>
      <c r="C201">
        <v>0</v>
      </c>
      <c r="D201">
        <v>0.16666666666666671</v>
      </c>
      <c r="E201">
        <v>0.16666666666666671</v>
      </c>
      <c r="F201">
        <v>0.16666666666666671</v>
      </c>
      <c r="G201">
        <v>0.16666666666666671</v>
      </c>
    </row>
    <row r="202" spans="1:7" x14ac:dyDescent="0.15">
      <c r="A202" t="str">
        <f>HYPERLINK("./new_k5/query_cmdrels_weight_analyze/0.5_0.1_0.4/au_90339.xlsx","au_90339")</f>
        <v>au_90339</v>
      </c>
      <c r="B202">
        <v>0</v>
      </c>
      <c r="C202">
        <v>0</v>
      </c>
      <c r="D202">
        <v>4.7619047619047623E-2</v>
      </c>
      <c r="E202">
        <v>0.16666666666666671</v>
      </c>
      <c r="F202">
        <v>0.2047619047619047</v>
      </c>
      <c r="G202">
        <v>0.16666666666666671</v>
      </c>
    </row>
    <row r="203" spans="1:7" x14ac:dyDescent="0.15">
      <c r="A203" t="str">
        <f>HYPERLINK("./new_k5/query_cmdrels_weight_analyze/0.5_0.1_0.4/au_91286.xlsx","au_91286")</f>
        <v>au_91286</v>
      </c>
      <c r="B203">
        <v>0.5</v>
      </c>
      <c r="C203">
        <v>0</v>
      </c>
      <c r="D203">
        <v>0.5</v>
      </c>
      <c r="E203">
        <v>0</v>
      </c>
      <c r="F203">
        <v>0.5</v>
      </c>
      <c r="G203">
        <v>0.125</v>
      </c>
    </row>
    <row r="204" spans="1:7" x14ac:dyDescent="0.15">
      <c r="A204" t="str">
        <f>HYPERLINK("./new_k5/query_cmdrels_weight_analyze/0.5_0.1_0.4/au_9135.xlsx","au_9135")</f>
        <v>au_9135</v>
      </c>
      <c r="B204">
        <v>0.1</v>
      </c>
      <c r="C204">
        <v>0</v>
      </c>
      <c r="D204">
        <v>0.16666666666666671</v>
      </c>
      <c r="E204">
        <v>0.1166666666666667</v>
      </c>
      <c r="F204">
        <v>0.24166666666666661</v>
      </c>
      <c r="G204">
        <v>0.19166666666666671</v>
      </c>
    </row>
    <row r="205" spans="1:7" x14ac:dyDescent="0.15">
      <c r="A205" t="str">
        <f>HYPERLINK("./new_k5/query_cmdrels_weight_analyze/0.5_0.1_0.4/au_935569.xlsx","au_935569")</f>
        <v>au_935569</v>
      </c>
      <c r="B205">
        <v>0.14285714285714279</v>
      </c>
      <c r="C205">
        <v>0.14285714285714279</v>
      </c>
      <c r="D205">
        <v>0.42857142857142849</v>
      </c>
      <c r="E205">
        <v>0.2857142857142857</v>
      </c>
      <c r="F205">
        <v>0.54285714285714282</v>
      </c>
      <c r="G205">
        <v>0.2857142857142857</v>
      </c>
    </row>
    <row r="206" spans="1:7" x14ac:dyDescent="0.15">
      <c r="A206" t="str">
        <f>HYPERLINK("./new_k5/query_cmdrels_weight_analyze/0.5_0.1_0.4/au_97936.xlsx","au_97936")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HYPERLINK("./new_k5/query_cmdrels_weight_analyze/0.5_0.1_0.4/so_10235778.xlsx","so_10235778")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HYPERLINK("./new_k5/query_cmdrels_weight_analyze/0.5_0.1_0.4/so_1045910.xlsx","so_1045910")</f>
        <v>so_1045910</v>
      </c>
      <c r="B208">
        <v>0.25</v>
      </c>
      <c r="C208">
        <v>0.25</v>
      </c>
      <c r="D208">
        <v>0.25</v>
      </c>
      <c r="E208">
        <v>0.5</v>
      </c>
      <c r="F208">
        <v>0.25</v>
      </c>
      <c r="G208">
        <v>0.5</v>
      </c>
    </row>
    <row r="209" spans="1:7" x14ac:dyDescent="0.15">
      <c r="A209" t="str">
        <f>HYPERLINK("./new_k5/query_cmdrels_weight_analyze/0.5_0.1_0.4/so_10557360.xlsx","so_10557360")</f>
        <v>so_10557360</v>
      </c>
      <c r="B209">
        <v>0</v>
      </c>
      <c r="C209">
        <v>0</v>
      </c>
      <c r="D209">
        <v>0</v>
      </c>
      <c r="E209">
        <v>6.6666666666666666E-2</v>
      </c>
      <c r="F209">
        <v>0</v>
      </c>
      <c r="G209">
        <v>6.6666666666666666E-2</v>
      </c>
    </row>
    <row r="210" spans="1:7" x14ac:dyDescent="0.15">
      <c r="A210" t="str">
        <f>HYPERLINK("./new_k5/query_cmdrels_weight_analyze/0.5_0.1_0.4/so_1058047.xlsx","so_1058047")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0.35</v>
      </c>
    </row>
    <row r="211" spans="1:7" x14ac:dyDescent="0.15">
      <c r="A211" t="str">
        <f>HYPERLINK("./new_k5/query_cmdrels_weight_analyze/0.5_0.1_0.4/so_10829402.xlsx","so_10829402")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HYPERLINK("./new_k5/query_cmdrels_weight_analyze/0.5_0.1_0.4/so_1088098.xlsx","so_1088098")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0.25</v>
      </c>
    </row>
    <row r="213" spans="1:7" x14ac:dyDescent="0.15">
      <c r="A213" t="str">
        <f>HYPERLINK("./new_k5/query_cmdrels_weight_analyze/0.5_0.1_0.4/so_10990949.xlsx","so_10990949")</f>
        <v>so_10990949</v>
      </c>
      <c r="B213">
        <v>0.5</v>
      </c>
      <c r="C213">
        <v>0.5</v>
      </c>
      <c r="D213">
        <v>0.5</v>
      </c>
      <c r="E213">
        <v>0.83333333333333326</v>
      </c>
      <c r="F213">
        <v>0.5</v>
      </c>
      <c r="G213">
        <v>0.83333333333333326</v>
      </c>
    </row>
    <row r="214" spans="1:7" x14ac:dyDescent="0.15">
      <c r="A214" t="str">
        <f>HYPERLINK("./new_k5/query_cmdrels_weight_analyze/0.5_0.1_0.4/so_11211705.xlsx","so_11211705")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HYPERLINK("./new_k5/query_cmdrels_weight_analyze/0.5_0.1_0.4/so_112932.xlsx","so_112932")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HYPERLINK("./new_k5/query_cmdrels_weight_analyze/0.5_0.1_0.4/so_11392189.xlsx","so_11392189")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8.3333333333333329E-2</v>
      </c>
    </row>
    <row r="217" spans="1:7" x14ac:dyDescent="0.15">
      <c r="A217" t="str">
        <f>HYPERLINK("./new_k5/query_cmdrels_weight_analyze/0.5_0.1_0.4/so_1183183.xlsx","so_1183183")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HYPERLINK("./new_k5/query_cmdrels_weight_analyze/0.5_0.1_0.4/so_1194882.xlsx","so_1194882")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HYPERLINK("./new_k5/query_cmdrels_weight_analyze/0.5_0.1_0.4/so_12120935.xlsx","so_12120935")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HYPERLINK("./new_k5/query_cmdrels_weight_analyze/0.5_0.1_0.4/so_12313384.xlsx","so_12313384")</f>
        <v>so_12313384</v>
      </c>
      <c r="B220">
        <v>0</v>
      </c>
      <c r="C220">
        <v>0</v>
      </c>
      <c r="D220">
        <v>0.16666666666666671</v>
      </c>
      <c r="E220">
        <v>0.16666666666666671</v>
      </c>
      <c r="F220">
        <v>0.16666666666666671</v>
      </c>
      <c r="G220">
        <v>0.33333333333333331</v>
      </c>
    </row>
    <row r="221" spans="1:7" x14ac:dyDescent="0.15">
      <c r="A221" t="str">
        <f>HYPERLINK("./new_k5/query_cmdrels_weight_analyze/0.5_0.1_0.4/so_12392598.xlsx","so_12392598")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HYPERLINK("./new_k5/query_cmdrels_weight_analyze/0.5_0.1_0.4/so_1241801.xlsx","so_1241801")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HYPERLINK("./new_k5/query_cmdrels_weight_analyze/0.5_0.1_0.4/so_12522269.xlsx","so_12522269")</f>
        <v>so_12522269</v>
      </c>
      <c r="B223">
        <v>0.2</v>
      </c>
      <c r="C223">
        <v>0</v>
      </c>
      <c r="D223">
        <v>0.2</v>
      </c>
      <c r="E223">
        <v>0.23333333333333331</v>
      </c>
      <c r="F223">
        <v>0.28000000000000003</v>
      </c>
      <c r="G223">
        <v>0.23333333333333331</v>
      </c>
    </row>
    <row r="224" spans="1:7" x14ac:dyDescent="0.15">
      <c r="A224" t="str">
        <f>HYPERLINK("./new_k5/query_cmdrels_weight_analyze/0.5_0.1_0.4/so_1293907.xlsx","so_1293907")</f>
        <v>so_1293907</v>
      </c>
      <c r="B224">
        <v>0</v>
      </c>
      <c r="C224">
        <v>0</v>
      </c>
      <c r="D224">
        <v>0</v>
      </c>
      <c r="E224">
        <v>0.16666666666666671</v>
      </c>
      <c r="F224">
        <v>8.3333333333333329E-2</v>
      </c>
      <c r="G224">
        <v>0.33333333333333331</v>
      </c>
    </row>
    <row r="225" spans="1:7" x14ac:dyDescent="0.15">
      <c r="A225" t="str">
        <f>HYPERLINK("./new_k5/query_cmdrels_weight_analyze/0.5_0.1_0.4/so_13428910.xlsx","so_13428910")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HYPERLINK("./new_k5/query_cmdrels_weight_analyze/0.5_0.1_0.4/so_135688.xlsx","so_135688")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HYPERLINK("./new_k5/query_cmdrels_weight_analyze/0.5_0.1_0.4/so_13778273.xlsx","so_13778273")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HYPERLINK("./new_k5/query_cmdrels_weight_analyze/0.5_0.1_0.4/so_1405611.xlsx","so_1405611")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</v>
      </c>
      <c r="F228">
        <v>0.33333333333333331</v>
      </c>
      <c r="G228">
        <v>8.3333333333333329E-2</v>
      </c>
    </row>
    <row r="229" spans="1:7" x14ac:dyDescent="0.15">
      <c r="A229" t="str">
        <f>HYPERLINK("./new_k5/query_cmdrels_weight_analyze/0.5_0.1_0.4/so_14300794.xlsx","so_14300794")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0.66666666666666663</v>
      </c>
    </row>
    <row r="230" spans="1:7" x14ac:dyDescent="0.15">
      <c r="A230" t="str">
        <f>HYPERLINK("./new_k5/query_cmdrels_weight_analyze/0.5_0.1_0.4/so_143791.xlsx","so_143791")</f>
        <v>so_143791</v>
      </c>
      <c r="B230">
        <v>0.125</v>
      </c>
      <c r="C230">
        <v>0.125</v>
      </c>
      <c r="D230">
        <v>0.375</v>
      </c>
      <c r="E230">
        <v>0.25</v>
      </c>
      <c r="F230">
        <v>0.375</v>
      </c>
      <c r="G230">
        <v>0.44374999999999998</v>
      </c>
    </row>
    <row r="231" spans="1:7" x14ac:dyDescent="0.15">
      <c r="A231" t="str">
        <f>HYPERLINK("./new_k5/query_cmdrels_weight_analyze/0.5_0.1_0.4/so_14750650.xlsx","so_14750650")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0.05</v>
      </c>
    </row>
    <row r="232" spans="1:7" x14ac:dyDescent="0.15">
      <c r="A232" t="str">
        <f>HYPERLINK("./new_k5/query_cmdrels_weight_analyze/0.5_0.1_0.4/so_14978411.xlsx","so_14978411")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HYPERLINK("./new_k5/query_cmdrels_weight_analyze/0.5_0.1_0.4/so_15236308.xlsx","so_15236308")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HYPERLINK("./new_k5/query_cmdrels_weight_analyze/0.5_0.1_0.4/so_15286947.xlsx","so_15286947")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HYPERLINK("./new_k5/query_cmdrels_weight_analyze/0.5_0.1_0.4/so_15402770.xlsx","so_15402770")</f>
        <v>so_15402770</v>
      </c>
      <c r="B235">
        <v>0</v>
      </c>
      <c r="C235">
        <v>0</v>
      </c>
      <c r="D235">
        <v>0.19444444444444439</v>
      </c>
      <c r="E235">
        <v>0.19444444444444439</v>
      </c>
      <c r="F235">
        <v>0.19444444444444439</v>
      </c>
      <c r="G235">
        <v>0.31944444444444442</v>
      </c>
    </row>
    <row r="236" spans="1:7" x14ac:dyDescent="0.15">
      <c r="A236" t="str">
        <f>HYPERLINK("./new_k5/query_cmdrels_weight_analyze/0.5_0.1_0.4/so_1570262.xlsx","so_1570262")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0.13</v>
      </c>
    </row>
    <row r="237" spans="1:7" x14ac:dyDescent="0.15">
      <c r="A237" t="str">
        <f>HYPERLINK("./new_k5/query_cmdrels_weight_analyze/0.5_0.1_0.4/so_1583219.xlsx","so_1583219")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HYPERLINK("./new_k5/query_cmdrels_weight_analyze/0.5_0.1_0.4/so_15872543.xlsx","so_15872543")</f>
        <v>so_15872543</v>
      </c>
      <c r="B238">
        <v>0</v>
      </c>
      <c r="C238">
        <v>0.5</v>
      </c>
      <c r="D238">
        <v>0.58333333333333326</v>
      </c>
      <c r="E238">
        <v>0.5</v>
      </c>
      <c r="F238">
        <v>0.58333333333333326</v>
      </c>
      <c r="G238">
        <v>0.75</v>
      </c>
    </row>
    <row r="239" spans="1:7" x14ac:dyDescent="0.15">
      <c r="A239" t="str">
        <f>HYPERLINK("./new_k5/query_cmdrels_weight_analyze/0.5_0.1_0.4/so_16038087.xlsx","so_16038087")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0.54285714285714282</v>
      </c>
    </row>
    <row r="240" spans="1:7" x14ac:dyDescent="0.15">
      <c r="A240" t="str">
        <f>HYPERLINK("./new_k5/query_cmdrels_weight_analyze/0.5_0.1_0.4/so_16212656.xlsx","so_16212656")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0.3</v>
      </c>
    </row>
    <row r="241" spans="1:7" x14ac:dyDescent="0.15">
      <c r="A241" t="str">
        <f>HYPERLINK("./new_k5/query_cmdrels_weight_analyze/0.5_0.1_0.4/so_16575419.xlsx","so_16575419")</f>
        <v>so_16575419</v>
      </c>
      <c r="B241">
        <v>0.25</v>
      </c>
      <c r="C241">
        <v>0.25</v>
      </c>
      <c r="D241">
        <v>0.25</v>
      </c>
      <c r="E241">
        <v>0.5</v>
      </c>
      <c r="F241">
        <v>0.25</v>
      </c>
      <c r="G241">
        <v>0.5</v>
      </c>
    </row>
    <row r="242" spans="1:7" x14ac:dyDescent="0.15">
      <c r="A242" t="str">
        <f>HYPERLINK("./new_k5/query_cmdrels_weight_analyze/0.5_0.1_0.4/so_17582768.xlsx","so_17582768")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0</v>
      </c>
    </row>
    <row r="243" spans="1:7" x14ac:dyDescent="0.15">
      <c r="A243" t="str">
        <f>HYPERLINK("./new_k5/query_cmdrels_weight_analyze/0.5_0.1_0.4/so_17607612.xlsx","so_17607612")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HYPERLINK("./new_k5/query_cmdrels_weight_analyze/0.5_0.1_0.4/so_17829785.xlsx","so_17829785")</f>
        <v>so_17829785</v>
      </c>
      <c r="B244">
        <v>0.25</v>
      </c>
      <c r="C244">
        <v>0</v>
      </c>
      <c r="D244">
        <v>0.25</v>
      </c>
      <c r="E244">
        <v>0.29166666666666657</v>
      </c>
      <c r="F244">
        <v>0.25</v>
      </c>
      <c r="G244">
        <v>0.29166666666666657</v>
      </c>
    </row>
    <row r="245" spans="1:7" x14ac:dyDescent="0.15">
      <c r="A245" t="str">
        <f>HYPERLINK("./new_k5/query_cmdrels_weight_analyze/0.5_0.1_0.4/so_1839841.xlsx","so_1839841")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HYPERLINK("./new_k5/query_cmdrels_weight_analyze/0.5_0.1_0.4/so_18468716.xlsx","so_18468716")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0.33333333333333331</v>
      </c>
    </row>
    <row r="247" spans="1:7" x14ac:dyDescent="0.15">
      <c r="A247" t="str">
        <f>HYPERLINK("./new_k5/query_cmdrels_weight_analyze/0.5_0.1_0.4/so_19196105.xlsx","so_19196105")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HYPERLINK("./new_k5/query_cmdrels_weight_analyze/0.5_0.1_0.4/so_19482123.xlsx","so_19482123")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HYPERLINK("./new_k5/query_cmdrels_weight_analyze/0.5_0.1_0.4/so_1975849.xlsx","so_1975849")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HYPERLINK("./new_k5/query_cmdrels_weight_analyze/0.5_0.1_0.4/so_212528.xlsx","so_212528")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0.43333333333333329</v>
      </c>
    </row>
    <row r="251" spans="1:7" x14ac:dyDescent="0.15">
      <c r="A251" t="str">
        <f>HYPERLINK("./new_k5/query_cmdrels_weight_analyze/0.5_0.1_0.4/so_21620406.xlsx","so_21620406")</f>
        <v>so_21620406</v>
      </c>
      <c r="B251">
        <v>0</v>
      </c>
      <c r="C251">
        <v>0</v>
      </c>
      <c r="D251">
        <v>0.1111111111111111</v>
      </c>
      <c r="E251">
        <v>0</v>
      </c>
      <c r="F251">
        <v>0.1111111111111111</v>
      </c>
      <c r="G251">
        <v>8.3333333333333329E-2</v>
      </c>
    </row>
    <row r="252" spans="1:7" x14ac:dyDescent="0.15">
      <c r="A252" t="str">
        <f>HYPERLINK("./new_k5/query_cmdrels_weight_analyze/0.5_0.1_0.4/so_23509348.xlsx","so_23509348")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HYPERLINK("./new_k5/query_cmdrels_weight_analyze/0.5_0.1_0.4/so_24058544.xlsx","so_24058544")</f>
        <v>so_24058544</v>
      </c>
      <c r="B253">
        <v>0.2</v>
      </c>
      <c r="C253">
        <v>0.2</v>
      </c>
      <c r="D253">
        <v>0.2</v>
      </c>
      <c r="E253">
        <v>0.2</v>
      </c>
      <c r="F253">
        <v>0.2</v>
      </c>
      <c r="G253">
        <v>0.2</v>
      </c>
    </row>
    <row r="254" spans="1:7" x14ac:dyDescent="0.15">
      <c r="A254" t="str">
        <f>HYPERLINK("./new_k5/query_cmdrels_weight_analyze/0.5_0.1_0.4/so_24283097.xlsx","so_24283097")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HYPERLINK("./new_k5/query_cmdrels_weight_analyze/0.5_0.1_0.4/so_26256279.xlsx","so_26256279")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HYPERLINK("./new_k5/query_cmdrels_weight_analyze/0.5_0.1_0.4/so_26331651.xlsx","so_26331651")</f>
        <v>so_26331651</v>
      </c>
      <c r="B256">
        <v>0</v>
      </c>
      <c r="C256">
        <v>0</v>
      </c>
      <c r="D256">
        <v>0</v>
      </c>
      <c r="E256">
        <v>7.1428571428571425E-2</v>
      </c>
      <c r="F256">
        <v>0</v>
      </c>
      <c r="G256">
        <v>0.14285714285714279</v>
      </c>
    </row>
    <row r="257" spans="1:7" x14ac:dyDescent="0.15">
      <c r="A257" t="str">
        <f>HYPERLINK("./new_k5/query_cmdrels_weight_analyze/0.5_0.1_0.4/so_26988262.xlsx","so_26988262")</f>
        <v>so_26988262</v>
      </c>
      <c r="B257">
        <v>0</v>
      </c>
      <c r="C257">
        <v>0</v>
      </c>
      <c r="D257">
        <v>0.16666666666666671</v>
      </c>
      <c r="E257">
        <v>0.1111111111111111</v>
      </c>
      <c r="F257">
        <v>0.33333333333333331</v>
      </c>
      <c r="G257">
        <v>0.1111111111111111</v>
      </c>
    </row>
    <row r="258" spans="1:7" x14ac:dyDescent="0.15">
      <c r="A258" t="str">
        <f>HYPERLINK("./new_k5/query_cmdrels_weight_analyze/0.5_0.1_0.4/so_27238411.xlsx","so_27238411")</f>
        <v>so_27238411</v>
      </c>
      <c r="B258">
        <v>0.2</v>
      </c>
      <c r="C258">
        <v>0.2</v>
      </c>
      <c r="D258">
        <v>0.6</v>
      </c>
      <c r="E258">
        <v>0.6</v>
      </c>
      <c r="F258">
        <v>0.6</v>
      </c>
      <c r="G258">
        <v>0.6</v>
      </c>
    </row>
    <row r="259" spans="1:7" x14ac:dyDescent="0.15">
      <c r="A259" t="str">
        <f>HYPERLINK("./new_k5/query_cmdrels_weight_analyze/0.5_0.1_0.4/so_27943059.xlsx","so_27943059")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0.33333333333333331</v>
      </c>
      <c r="F259">
        <v>0.16666666666666671</v>
      </c>
      <c r="G259">
        <v>0.5</v>
      </c>
    </row>
    <row r="260" spans="1:7" x14ac:dyDescent="0.15">
      <c r="A260" t="str">
        <f>HYPERLINK("./new_k5/query_cmdrels_weight_analyze/0.5_0.1_0.4/so_28869004.xlsx","so_28869004")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HYPERLINK("./new_k5/query_cmdrels_weight_analyze/0.5_0.1_0.4/so_2973624.xlsx","so_2973624")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0.55555555555555547</v>
      </c>
      <c r="F261">
        <v>0.66666666666666663</v>
      </c>
      <c r="G261">
        <v>0.80555555555555547</v>
      </c>
    </row>
    <row r="262" spans="1:7" x14ac:dyDescent="0.15">
      <c r="A262" t="str">
        <f>HYPERLINK("./new_k5/query_cmdrels_weight_analyze/0.5_0.1_0.4/so_30177455.xlsx","so_30177455")</f>
        <v>so_30177455</v>
      </c>
      <c r="B262">
        <v>0</v>
      </c>
      <c r="C262">
        <v>0</v>
      </c>
      <c r="D262">
        <v>0.16666666666666671</v>
      </c>
      <c r="E262">
        <v>0.1111111111111111</v>
      </c>
      <c r="F262">
        <v>0.16666666666666671</v>
      </c>
      <c r="G262">
        <v>0.1111111111111111</v>
      </c>
    </row>
    <row r="263" spans="1:7" x14ac:dyDescent="0.15">
      <c r="A263" t="str">
        <f>HYPERLINK("./new_k5/query_cmdrels_weight_analyze/0.5_0.1_0.4/so_30251889.xlsx","so_30251889")</f>
        <v>so_30251889</v>
      </c>
      <c r="B263">
        <v>0</v>
      </c>
      <c r="C263">
        <v>0.25</v>
      </c>
      <c r="D263">
        <v>0.125</v>
      </c>
      <c r="E263">
        <v>0.75</v>
      </c>
      <c r="F263">
        <v>0.22500000000000001</v>
      </c>
      <c r="G263">
        <v>1</v>
      </c>
    </row>
    <row r="264" spans="1:7" x14ac:dyDescent="0.15">
      <c r="A264" t="str">
        <f>HYPERLINK("./new_k5/query_cmdrels_weight_analyze/0.5_0.1_0.4/so_305035.xlsx","so_305035")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HYPERLINK("./new_k5/query_cmdrels_weight_analyze/0.5_0.1_0.4/so_36249744.xlsx","so_36249744")</f>
        <v>so_36249744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</row>
    <row r="266" spans="1:7" x14ac:dyDescent="0.15">
      <c r="A266" t="str">
        <f>HYPERLINK("./new_k5/query_cmdrels_weight_analyze/0.5_0.1_0.4/so_3643848.xlsx","so_3643848")</f>
        <v>so_3643848</v>
      </c>
      <c r="B266">
        <v>0.5</v>
      </c>
      <c r="C266">
        <v>0.5</v>
      </c>
      <c r="D266">
        <v>1</v>
      </c>
      <c r="E266">
        <v>0.5</v>
      </c>
      <c r="F266">
        <v>1</v>
      </c>
      <c r="G266">
        <v>0.75</v>
      </c>
    </row>
    <row r="267" spans="1:7" x14ac:dyDescent="0.15">
      <c r="A267" t="str">
        <f>HYPERLINK("./new_k5/query_cmdrels_weight_analyze/0.5_0.1_0.4/so_3667329.xlsx","so_3667329")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0.33333333333333331</v>
      </c>
    </row>
    <row r="268" spans="1:7" x14ac:dyDescent="0.15">
      <c r="A268" t="str">
        <f>HYPERLINK("./new_k5/query_cmdrels_weight_analyze/0.5_0.1_0.4/so_369758.xlsx","so_369758")</f>
        <v>so_369758</v>
      </c>
      <c r="B268">
        <v>0.2</v>
      </c>
      <c r="C268">
        <v>0.2</v>
      </c>
      <c r="D268">
        <v>0.4</v>
      </c>
      <c r="E268">
        <v>0.33333333333333331</v>
      </c>
      <c r="F268">
        <v>0.4</v>
      </c>
      <c r="G268">
        <v>0.48333333333333328</v>
      </c>
    </row>
    <row r="269" spans="1:7" x14ac:dyDescent="0.15">
      <c r="A269" t="str">
        <f>HYPERLINK("./new_k5/query_cmdrels_weight_analyze/0.5_0.1_0.4/so_3756323.xlsx","so_3756323")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</v>
      </c>
    </row>
    <row r="270" spans="1:7" x14ac:dyDescent="0.15">
      <c r="A270" t="str">
        <f>HYPERLINK("./new_k5/query_cmdrels_weight_analyze/0.5_0.1_0.4/so_3767267.xlsx","so_3767267")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HYPERLINK("./new_k5/query_cmdrels_weight_analyze/0.5_0.1_0.4/so_3833578.xlsx","so_3833578")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HYPERLINK("./new_k5/query_cmdrels_weight_analyze/0.5_0.1_0.4/so_3891076.xlsx","so_3891076")</f>
        <v>so_3891076</v>
      </c>
      <c r="B272">
        <v>0.25</v>
      </c>
      <c r="C272">
        <v>0</v>
      </c>
      <c r="D272">
        <v>0.25</v>
      </c>
      <c r="E272">
        <v>0.125</v>
      </c>
      <c r="F272">
        <v>0.25</v>
      </c>
      <c r="G272">
        <v>0.22500000000000001</v>
      </c>
    </row>
    <row r="273" spans="1:7" x14ac:dyDescent="0.15">
      <c r="A273" t="str">
        <f>HYPERLINK("./new_k5/query_cmdrels_weight_analyze/0.5_0.1_0.4/so_3963085.xlsx","so_3963085")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HYPERLINK("./new_k5/query_cmdrels_weight_analyze/0.5_0.1_0.4/so_4325216.xlsx","so_4325216")</f>
        <v>so_4325216</v>
      </c>
      <c r="B274">
        <v>0.5</v>
      </c>
      <c r="C274">
        <v>0.5</v>
      </c>
      <c r="D274">
        <v>0.5</v>
      </c>
      <c r="E274">
        <v>0.83333333333333326</v>
      </c>
      <c r="F274">
        <v>0.5</v>
      </c>
      <c r="G274">
        <v>0.83333333333333326</v>
      </c>
    </row>
    <row r="275" spans="1:7" x14ac:dyDescent="0.15">
      <c r="A275" t="str">
        <f>HYPERLINK("./new_k5/query_cmdrels_weight_analyze/0.5_0.1_0.4/so_448005.xlsx","so_448005")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HYPERLINK("./new_k5/query_cmdrels_weight_analyze/0.5_0.1_0.4/so_4921879.xlsx","so_4921879")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HYPERLINK("./new_k5/query_cmdrels_weight_analyze/0.5_0.1_0.4/so_4922943.xlsx","so_4922943")</f>
        <v>so_4922943</v>
      </c>
      <c r="B277">
        <v>0.2</v>
      </c>
      <c r="C277">
        <v>0</v>
      </c>
      <c r="D277">
        <v>0.33333333333333331</v>
      </c>
      <c r="E277">
        <v>0.1</v>
      </c>
      <c r="F277">
        <v>0.33333333333333331</v>
      </c>
      <c r="G277">
        <v>0.32</v>
      </c>
    </row>
    <row r="278" spans="1:7" x14ac:dyDescent="0.15">
      <c r="A278" t="str">
        <f>HYPERLINK("./new_k5/query_cmdrels_weight_analyze/0.5_0.1_0.4/so_5119946.xlsx","so_5119946")</f>
        <v>so_5119946</v>
      </c>
      <c r="B278">
        <v>0.5</v>
      </c>
      <c r="C278">
        <v>0</v>
      </c>
      <c r="D278">
        <v>0.5</v>
      </c>
      <c r="E278">
        <v>0.16666666666666671</v>
      </c>
      <c r="F278">
        <v>0.5</v>
      </c>
      <c r="G278">
        <v>0.16666666666666671</v>
      </c>
    </row>
    <row r="279" spans="1:7" x14ac:dyDescent="0.15">
      <c r="A279" t="str">
        <f>HYPERLINK("./new_k5/query_cmdrels_weight_analyze/0.5_0.1_0.4/so_5164985.xlsx","so_5164985")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0.3</v>
      </c>
    </row>
    <row r="280" spans="1:7" x14ac:dyDescent="0.15">
      <c r="A280" t="str">
        <f>HYPERLINK("./new_k5/query_cmdrels_weight_analyze/0.5_0.1_0.4/so_5306153.xlsx","so_5306153")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HYPERLINK("./new_k5/query_cmdrels_weight_analyze/0.5_0.1_0.4/so_5566310.xlsx","so_5566310")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HYPERLINK("./new_k5/query_cmdrels_weight_analyze/0.5_0.1_0.4/so_5927369.xlsx","so_5927369")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HYPERLINK("./new_k5/query_cmdrels_weight_analyze/0.5_0.1_0.4/so_5947742.xlsx","so_5947742")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HYPERLINK("./new_k5/query_cmdrels_weight_analyze/0.5_0.1_0.4/so_614795.xlsx","so_614795")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HYPERLINK("./new_k5/query_cmdrels_weight_analyze/0.5_0.1_0.4/so_6207573.xlsx","so_6207573")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0.42857142857142849</v>
      </c>
      <c r="F285">
        <v>0.37142857142857139</v>
      </c>
      <c r="G285">
        <v>0.5714285714285714</v>
      </c>
    </row>
    <row r="286" spans="1:7" x14ac:dyDescent="0.15">
      <c r="A286" t="str">
        <f>HYPERLINK("./new_k5/query_cmdrels_weight_analyze/0.5_0.1_0.4/so_6283167.xlsx","so_6283167")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HYPERLINK("./new_k5/query_cmdrels_weight_analyze/0.5_0.1_0.4/so_6329505.xlsx","so_6329505")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HYPERLINK("./new_k5/query_cmdrels_weight_analyze/0.5_0.1_0.4/so_6423532.xlsx","so_6423532")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HYPERLINK("./new_k5/query_cmdrels_weight_analyze/0.5_0.1_0.4/so_669438.xlsx","so_669438")</f>
        <v>so_669438</v>
      </c>
      <c r="B289">
        <v>0.2</v>
      </c>
      <c r="C289">
        <v>0.2</v>
      </c>
      <c r="D289">
        <v>0.6</v>
      </c>
      <c r="E289">
        <v>0.4</v>
      </c>
      <c r="F289">
        <v>0.6</v>
      </c>
      <c r="G289">
        <v>0.55000000000000004</v>
      </c>
    </row>
    <row r="290" spans="1:7" x14ac:dyDescent="0.15">
      <c r="A290" t="str">
        <f>HYPERLINK("./new_k5/query_cmdrels_weight_analyze/0.5_0.1_0.4/so_7052875.xlsx","so_7052875")</f>
        <v>so_7052875</v>
      </c>
      <c r="B290">
        <v>0.2</v>
      </c>
      <c r="C290">
        <v>0.2</v>
      </c>
      <c r="D290">
        <v>0.2</v>
      </c>
      <c r="E290">
        <v>0.33333333333333331</v>
      </c>
      <c r="F290">
        <v>0.2</v>
      </c>
      <c r="G290">
        <v>0.33333333333333331</v>
      </c>
    </row>
    <row r="291" spans="1:7" x14ac:dyDescent="0.15">
      <c r="A291" t="str">
        <f>HYPERLINK("./new_k5/query_cmdrels_weight_analyze/0.5_0.1_0.4/so_7221757.xlsx","so_7221757")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HYPERLINK("./new_k5/query_cmdrels_weight_analyze/0.5_0.1_0.4/so_750604.xlsx","so_750604")</f>
        <v>so_750604</v>
      </c>
      <c r="B292">
        <v>0</v>
      </c>
      <c r="C292">
        <v>0</v>
      </c>
      <c r="D292">
        <v>0.1111111111111111</v>
      </c>
      <c r="E292">
        <v>0.16666666666666671</v>
      </c>
      <c r="F292">
        <v>0.1111111111111111</v>
      </c>
      <c r="G292">
        <v>0.33333333333333331</v>
      </c>
    </row>
    <row r="293" spans="1:7" x14ac:dyDescent="0.15">
      <c r="A293" t="str">
        <f>HYPERLINK("./new_k5/query_cmdrels_weight_analyze/0.5_0.1_0.4/so_7575267.xlsx","so_7575267")</f>
        <v>so_7575267</v>
      </c>
      <c r="B293">
        <v>0</v>
      </c>
      <c r="C293">
        <v>0.25</v>
      </c>
      <c r="D293">
        <v>0</v>
      </c>
      <c r="E293">
        <v>0.5</v>
      </c>
      <c r="F293">
        <v>0</v>
      </c>
      <c r="G293">
        <v>0.5</v>
      </c>
    </row>
    <row r="294" spans="1:7" x14ac:dyDescent="0.15">
      <c r="A294" t="str">
        <f>HYPERLINK("./new_k5/query_cmdrels_weight_analyze/0.5_0.1_0.4/so_7698488.xlsx","so_7698488")</f>
        <v>so_7698488</v>
      </c>
      <c r="B294">
        <v>0</v>
      </c>
      <c r="C294">
        <v>0</v>
      </c>
      <c r="D294">
        <v>0</v>
      </c>
      <c r="E294">
        <v>8.3333333333333329E-2</v>
      </c>
      <c r="F294">
        <v>0</v>
      </c>
      <c r="G294">
        <v>0.18333333333333329</v>
      </c>
    </row>
    <row r="295" spans="1:7" x14ac:dyDescent="0.15">
      <c r="A295" t="str">
        <f>HYPERLINK("./new_k5/query_cmdrels_weight_analyze/0.5_0.1_0.4/so_801095.xlsx","so_801095")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0.33333333333333331</v>
      </c>
      <c r="F295">
        <v>0.33333333333333331</v>
      </c>
      <c r="G295">
        <v>0.5</v>
      </c>
    </row>
    <row r="296" spans="1:7" x14ac:dyDescent="0.15">
      <c r="A296" t="str">
        <f>HYPERLINK("./new_k5/query_cmdrels_weight_analyze/0.5_0.1_0.4/so_8249705.xlsx","so_8249705")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HYPERLINK("./new_k5/query_cmdrels_weight_analyze/0.5_0.1_0.4/so_8423541.xlsx","so_8423541")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HYPERLINK("./new_k5/query_cmdrels_weight_analyze/0.5_0.1_0.4/so_8654051.xlsx","so_8654051")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0.65</v>
      </c>
    </row>
    <row r="299" spans="1:7" x14ac:dyDescent="0.15">
      <c r="A299" t="str">
        <f>HYPERLINK("./new_k5/query_cmdrels_weight_analyze/0.5_0.1_0.4/so_890262.xlsx","so_890262")</f>
        <v>so_890262</v>
      </c>
      <c r="B299">
        <v>0</v>
      </c>
      <c r="C299">
        <v>0</v>
      </c>
      <c r="D299">
        <v>0</v>
      </c>
      <c r="E299">
        <v>0.1111111111111111</v>
      </c>
      <c r="F299">
        <v>0</v>
      </c>
      <c r="G299">
        <v>0.27777777777777768</v>
      </c>
    </row>
    <row r="300" spans="1:7" x14ac:dyDescent="0.15">
      <c r="A300" t="str">
        <f>HYPERLINK("./new_k5/query_cmdrels_weight_analyze/0.5_0.1_0.4/so_893585.xlsx","so_893585")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HYPERLINK("./new_k5/query_cmdrels_weight_analyze/0.5_0.1_0.4/so_9223460.xlsx","so_9223460")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0.16666666666666671</v>
      </c>
    </row>
    <row r="302" spans="1:7" x14ac:dyDescent="0.15">
      <c r="A302" t="str">
        <f>HYPERLINK("./new_k5/query_cmdrels_weight_analyze/0.5_0.1_0.4/so_9245638.xlsx","so_9245638")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HYPERLINK("./new_k5/query_cmdrels_weight_analyze/0.5_0.1_0.4/so_9304953.xlsx","so_9304953")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HYPERLINK("./new_k5/query_cmdrels_weight_analyze/0.5_0.1_0.4/so_9361816.xlsx","so_9361816")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HYPERLINK("./new_k5/query_cmdrels_weight_analyze/0.5_0.1_0.4/su_116617.xlsx","su_116617")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HYPERLINK("./new_k5/query_cmdrels_weight_analyze/0.5_0.1_0.4/su_120045.xlsx","su_120045")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HYPERLINK("./new_k5/query_cmdrels_weight_analyze/0.5_0.1_0.4/su_127863.xlsx","su_127863")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0.25</v>
      </c>
    </row>
    <row r="308" spans="1:7" x14ac:dyDescent="0.15">
      <c r="A308" t="str">
        <f>HYPERLINK("./new_k5/query_cmdrels_weight_analyze/0.5_0.1_0.4/su_135498.xlsx","su_135498")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HYPERLINK("./new_k5/query_cmdrels_weight_analyze/0.5_0.1_0.4/su_147027.xlsx","su_147027")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0.2</v>
      </c>
    </row>
    <row r="310" spans="1:7" x14ac:dyDescent="0.15">
      <c r="A310" t="str">
        <f>HYPERLINK("./new_k5/query_cmdrels_weight_analyze/0.5_0.1_0.4/su_151911.xlsx","su_151911")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15">
      <c r="A311" t="str">
        <f>HYPERLINK("./new_k5/query_cmdrels_weight_analyze/0.5_0.1_0.4/su_153415.xlsx","su_153415")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HYPERLINK("./new_k5/query_cmdrels_weight_analyze/0.5_0.1_0.4/su_156189.xlsx","su_156189")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0.40277777777777768</v>
      </c>
    </row>
    <row r="313" spans="1:7" x14ac:dyDescent="0.15">
      <c r="A313" t="str">
        <f>HYPERLINK("./new_k5/query_cmdrels_weight_analyze/0.5_0.1_0.4/su_161531.xlsx","su_161531")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HYPERLINK("./new_k5/query_cmdrels_weight_analyze/0.5_0.1_0.4/su_204209.xlsx","su_204209")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HYPERLINK("./new_k5/query_cmdrels_weight_analyze/0.5_0.1_0.4/su_214390.xlsx","su_214390")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HYPERLINK("./new_k5/query_cmdrels_weight_analyze/0.5_0.1_0.4/su_215483.xlsx","su_215483")</f>
        <v>su_215483</v>
      </c>
      <c r="B316">
        <v>0.5</v>
      </c>
      <c r="C316">
        <v>0.5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HYPERLINK("./new_k5/query_cmdrels_weight_analyze/0.5_0.1_0.4/su_215504.xlsx","su_215504")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0.44166666666666671</v>
      </c>
    </row>
    <row r="318" spans="1:7" x14ac:dyDescent="0.15">
      <c r="A318" t="str">
        <f>HYPERLINK("./new_k5/query_cmdrels_weight_analyze/0.5_0.1_0.4/su_227385.xlsx","su_227385")</f>
        <v>su_227385</v>
      </c>
      <c r="B318">
        <v>0</v>
      </c>
      <c r="C318">
        <v>0</v>
      </c>
      <c r="D318">
        <v>0</v>
      </c>
      <c r="E318">
        <v>0.29166666666666657</v>
      </c>
      <c r="F318">
        <v>0</v>
      </c>
      <c r="G318">
        <v>0.6791666666666667</v>
      </c>
    </row>
    <row r="319" spans="1:7" x14ac:dyDescent="0.15">
      <c r="A319" t="str">
        <f>HYPERLINK("./new_k5/query_cmdrels_weight_analyze/0.5_0.1_0.4/su_273254.xlsx","su_273254")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HYPERLINK("./new_k5/query_cmdrels_weight_analyze/0.5_0.1_0.4/su_294161.xlsx","su_294161")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HYPERLINK("./new_k5/query_cmdrels_weight_analyze/0.5_0.1_0.4/su_302396.xlsx","su_302396")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HYPERLINK("./new_k5/query_cmdrels_weight_analyze/0.5_0.1_0.4/su_303981.xlsx","su_303981")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0.5</v>
      </c>
      <c r="F322">
        <v>0.5</v>
      </c>
      <c r="G322">
        <v>0.5</v>
      </c>
    </row>
    <row r="323" spans="1:7" x14ac:dyDescent="0.15">
      <c r="A323" t="str">
        <f>HYPERLINK("./new_k5/query_cmdrels_weight_analyze/0.5_0.1_0.4/su_305128.xlsx","su_305128")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0.7</v>
      </c>
    </row>
    <row r="324" spans="1:7" x14ac:dyDescent="0.15">
      <c r="A324" t="str">
        <f>HYPERLINK("./new_k5/query_cmdrels_weight_analyze/0.5_0.1_0.4/su_31512.xlsx","su_31512")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HYPERLINK("./new_k5/query_cmdrels_weight_analyze/0.5_0.1_0.4/su_380520.xlsx","su_380520")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0.33333333333333331</v>
      </c>
    </row>
    <row r="326" spans="1:7" x14ac:dyDescent="0.15">
      <c r="A326" t="str">
        <f>HYPERLINK("./new_k5/query_cmdrels_weight_analyze/0.5_0.1_0.4/su_38981.xlsx","su_38981")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HYPERLINK("./new_k5/query_cmdrels_weight_analyze/0.5_0.1_0.4/su_437330.xlsx","su_437330")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HYPERLINK("./new_k5/query_cmdrels_weight_analyze/0.5_0.1_0.4/su_441379.xlsx","su_441379")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HYPERLINK("./new_k5/query_cmdrels_weight_analyze/0.5_0.1_0.4/su_462788.xlsx","su_462788")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0.22222222222222221</v>
      </c>
      <c r="F329">
        <v>0.30555555555555558</v>
      </c>
      <c r="G329">
        <v>0.30555555555555558</v>
      </c>
    </row>
    <row r="330" spans="1:7" x14ac:dyDescent="0.15">
      <c r="A330" t="str">
        <f>HYPERLINK("./new_k5/query_cmdrels_weight_analyze/0.5_0.1_0.4/su_626606.xlsx","su_626606")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0.66666666666666663</v>
      </c>
    </row>
    <row r="331" spans="1:7" x14ac:dyDescent="0.15">
      <c r="A331" t="str">
        <f>HYPERLINK("./new_k5/query_cmdrels_weight_analyze/0.5_0.1_0.4/su_634469.xlsx","su_634469")</f>
        <v>su_634469</v>
      </c>
      <c r="B331">
        <v>0</v>
      </c>
      <c r="C331">
        <v>0.16666666666666671</v>
      </c>
      <c r="D331">
        <v>0</v>
      </c>
      <c r="E331">
        <v>0.33333333333333331</v>
      </c>
      <c r="F331">
        <v>0</v>
      </c>
      <c r="G331">
        <v>0.45833333333333331</v>
      </c>
    </row>
    <row r="332" spans="1:7" x14ac:dyDescent="0.15">
      <c r="A332" t="str">
        <f>HYPERLINK("./new_k5/query_cmdrels_weight_analyze/0.5_0.1_0.4/su_638616.xlsx","su_638616")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HYPERLINK("./new_k5/query_cmdrels_weight_analyze/0.5_0.1_0.4/su_678113.xlsx","su_678113")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HYPERLINK("./new_k5/query_cmdrels_weight_analyze/0.5_0.1_0.4/su_686394.xlsx","su_686394")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HYPERLINK("./new_k5/query_cmdrels_weight_analyze/0.5_0.1_0.4/su_716795.xlsx","su_716795")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</v>
      </c>
    </row>
    <row r="336" spans="1:7" x14ac:dyDescent="0.15">
      <c r="A336" t="str">
        <f>HYPERLINK("./new_k5/query_cmdrels_weight_analyze/0.5_0.1_0.4/su_758463.xlsx","su_758463")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HYPERLINK("./new_k5/query_cmdrels_weight_analyze/0.5_0.1_0.4/su_766437.xlsx","su_766437")</f>
        <v>su_766437</v>
      </c>
      <c r="B337">
        <v>0</v>
      </c>
      <c r="C337">
        <v>0.2</v>
      </c>
      <c r="D337">
        <v>0</v>
      </c>
      <c r="E337">
        <v>0.4</v>
      </c>
      <c r="F337">
        <v>0.05</v>
      </c>
      <c r="G337">
        <v>0.52</v>
      </c>
    </row>
    <row r="338" spans="1:7" x14ac:dyDescent="0.15">
      <c r="A338" t="str">
        <f>HYPERLINK("./new_k5/query_cmdrels_weight_analyze/0.5_0.1_0.4/su_904001.xlsx","su_904001")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HYPERLINK("./new_k5/query_cmdrels_weight_analyze/0.5_0.1_0.4/ul_100959.xlsx","ul_100959")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HYPERLINK("./new_k5/query_cmdrels_weight_analyze/0.5_0.1_0.4/ul_101073.xlsx","ul_101073")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HYPERLINK("./new_k5/query_cmdrels_weight_analyze/0.5_0.1_0.4/ul_101237.xlsx","ul_101237")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HYPERLINK("./new_k5/query_cmdrels_weight_analyze/0.5_0.1_0.4/ul_102752.xlsx","ul_102752")</f>
        <v>ul_102752</v>
      </c>
      <c r="B342">
        <v>0</v>
      </c>
      <c r="C342">
        <v>0.25</v>
      </c>
      <c r="D342">
        <v>0.29166666666666657</v>
      </c>
      <c r="E342">
        <v>0.5</v>
      </c>
      <c r="F342">
        <v>0.29166666666666657</v>
      </c>
      <c r="G342">
        <v>0.88749999999999996</v>
      </c>
    </row>
    <row r="343" spans="1:7" x14ac:dyDescent="0.15">
      <c r="A343" t="str">
        <f>HYPERLINK("./new_k5/query_cmdrels_weight_analyze/0.5_0.1_0.4/ul_108174.xlsx","ul_108174")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HYPERLINK("./new_k5/query_cmdrels_weight_analyze/0.5_0.1_0.4/ul_109536.xlsx","ul_109536")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HYPERLINK("./new_k5/query_cmdrels_weight_analyze/0.5_0.1_0.4/ul_112050.xlsx","ul_112050")</f>
        <v>ul_112050</v>
      </c>
      <c r="B345">
        <v>0</v>
      </c>
      <c r="C345">
        <v>0.25</v>
      </c>
      <c r="D345">
        <v>0.125</v>
      </c>
      <c r="E345">
        <v>0.5</v>
      </c>
      <c r="F345">
        <v>0.125</v>
      </c>
      <c r="G345">
        <v>0.6875</v>
      </c>
    </row>
    <row r="346" spans="1:7" x14ac:dyDescent="0.15">
      <c r="A346" t="str">
        <f>HYPERLINK("./new_k5/query_cmdrels_weight_analyze/0.5_0.1_0.4/ul_116070.xlsx","ul_116070")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0.33333333333333331</v>
      </c>
      <c r="F346">
        <v>0.45833333333333331</v>
      </c>
      <c r="G346">
        <v>0.45833333333333331</v>
      </c>
    </row>
    <row r="347" spans="1:7" x14ac:dyDescent="0.15">
      <c r="A347" t="str">
        <f>HYPERLINK("./new_k5/query_cmdrels_weight_analyze/0.5_0.1_0.4/ul_11851.xlsx","ul_11851")</f>
        <v>ul_11851</v>
      </c>
      <c r="B347">
        <v>0</v>
      </c>
      <c r="C347">
        <v>0.2</v>
      </c>
      <c r="D347">
        <v>0</v>
      </c>
      <c r="E347">
        <v>0.4</v>
      </c>
      <c r="F347">
        <v>0</v>
      </c>
      <c r="G347">
        <v>0.71</v>
      </c>
    </row>
    <row r="348" spans="1:7" x14ac:dyDescent="0.15">
      <c r="A348" t="str">
        <f>HYPERLINK("./new_k5/query_cmdrels_weight_analyze/0.5_0.1_0.4/ul_119126.xlsx","ul_119126")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HYPERLINK("./new_k5/query_cmdrels_weight_analyze/0.5_0.1_0.4/ul_121718.xlsx","ul_121718")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HYPERLINK("./new_k5/query_cmdrels_weight_analyze/0.5_0.1_0.4/ul_12227.xlsx","ul_12227")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HYPERLINK("./new_k5/query_cmdrels_weight_analyze/0.5_0.1_0.4/ul_12453.xlsx","ul_12453")</f>
        <v>ul_12453</v>
      </c>
      <c r="B351">
        <v>0</v>
      </c>
      <c r="C351">
        <v>0</v>
      </c>
      <c r="D351">
        <v>0.125</v>
      </c>
      <c r="E351">
        <v>0.29166666666666657</v>
      </c>
      <c r="F351">
        <v>0.125</v>
      </c>
      <c r="G351">
        <v>0.47916666666666657</v>
      </c>
    </row>
    <row r="352" spans="1:7" x14ac:dyDescent="0.15">
      <c r="A352" t="str">
        <f>HYPERLINK("./new_k5/query_cmdrels_weight_analyze/0.5_0.1_0.4/ul_12535.xlsx","ul_12535")</f>
        <v>ul_12535</v>
      </c>
      <c r="B352">
        <v>0</v>
      </c>
      <c r="C352">
        <v>0</v>
      </c>
      <c r="D352">
        <v>0</v>
      </c>
      <c r="E352">
        <v>0.23333333333333331</v>
      </c>
      <c r="F352">
        <v>0.05</v>
      </c>
      <c r="G352">
        <v>0.23333333333333331</v>
      </c>
    </row>
    <row r="353" spans="1:7" x14ac:dyDescent="0.15">
      <c r="A353" t="str">
        <f>HYPERLINK("./new_k5/query_cmdrels_weight_analyze/0.5_0.1_0.4/ul_127066.xlsx","ul_127066")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0.41666666666666657</v>
      </c>
    </row>
    <row r="354" spans="1:7" x14ac:dyDescent="0.15">
      <c r="A354" t="str">
        <f>HYPERLINK("./new_k5/query_cmdrels_weight_analyze/0.5_0.1_0.4/ul_128953.xlsx","ul_128953")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HYPERLINK("./new_k5/query_cmdrels_weight_analyze/0.5_0.1_0.4/ul_134829.xlsx","ul_134829")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0.33333333333333331</v>
      </c>
      <c r="F355">
        <v>0.33333333333333331</v>
      </c>
      <c r="G355">
        <v>0.43333333333333329</v>
      </c>
    </row>
    <row r="356" spans="1:7" x14ac:dyDescent="0.15">
      <c r="A356" t="str">
        <f>HYPERLINK("./new_k5/query_cmdrels_weight_analyze/0.5_0.1_0.4/ul_136371.xlsx","ul_136371")</f>
        <v>ul_136371</v>
      </c>
      <c r="B356">
        <v>0</v>
      </c>
      <c r="C356">
        <v>0.33333333333333331</v>
      </c>
      <c r="D356">
        <v>0</v>
      </c>
      <c r="E356">
        <v>0.33333333333333331</v>
      </c>
      <c r="F356">
        <v>0</v>
      </c>
      <c r="G356">
        <v>0.46666666666666662</v>
      </c>
    </row>
    <row r="357" spans="1:7" x14ac:dyDescent="0.15">
      <c r="A357" t="str">
        <f>HYPERLINK("./new_k5/query_cmdrels_weight_analyze/0.5_0.1_0.4/ul_136884.xlsx","ul_136884")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HYPERLINK("./new_k5/query_cmdrels_weight_analyze/0.5_0.1_0.4/ul_138398.xlsx","ul_138398")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HYPERLINK("./new_k5/query_cmdrels_weight_analyze/0.5_0.1_0.4/ul_139271.xlsx","ul_139271")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0.33333333333333331</v>
      </c>
      <c r="F359">
        <v>0.33333333333333331</v>
      </c>
      <c r="G359">
        <v>0.43333333333333329</v>
      </c>
    </row>
    <row r="360" spans="1:7" x14ac:dyDescent="0.15">
      <c r="A360" t="str">
        <f>HYPERLINK("./new_k5/query_cmdrels_weight_analyze/0.5_0.1_0.4/ul_140482.xlsx","ul_140482")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0.5</v>
      </c>
    </row>
    <row r="361" spans="1:7" x14ac:dyDescent="0.15">
      <c r="A361" t="str">
        <f>HYPERLINK("./new_k5/query_cmdrels_weight_analyze/0.5_0.1_0.4/ul_14191.xlsx","ul_14191")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0.24444444444444449</v>
      </c>
    </row>
    <row r="362" spans="1:7" x14ac:dyDescent="0.15">
      <c r="A362" t="str">
        <f>HYPERLINK("./new_k5/query_cmdrels_weight_analyze/0.5_0.1_0.4/ul_145929.xlsx","ul_145929")</f>
        <v>ul_145929</v>
      </c>
      <c r="B362">
        <v>0</v>
      </c>
      <c r="C362">
        <v>0</v>
      </c>
      <c r="D362">
        <v>0.16666666666666671</v>
      </c>
      <c r="E362">
        <v>0</v>
      </c>
      <c r="F362">
        <v>0.16666666666666671</v>
      </c>
      <c r="G362">
        <v>0.125</v>
      </c>
    </row>
    <row r="363" spans="1:7" x14ac:dyDescent="0.15">
      <c r="A363" t="str">
        <f>HYPERLINK("./new_k5/query_cmdrels_weight_analyze/0.5_0.1_0.4/ul_148985.xlsx","ul_148985")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HYPERLINK("./new_k5/query_cmdrels_weight_analyze/0.5_0.1_0.4/ul_15405.xlsx","ul_15405")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0.65</v>
      </c>
    </row>
    <row r="365" spans="1:7" x14ac:dyDescent="0.15">
      <c r="A365" t="str">
        <f>HYPERLINK("./new_k5/query_cmdrels_weight_analyze/0.5_0.1_0.4/ul_155551.xlsx","ul_155551")</f>
        <v>ul_155551</v>
      </c>
      <c r="B365">
        <v>0</v>
      </c>
      <c r="C365">
        <v>0</v>
      </c>
      <c r="D365">
        <v>0</v>
      </c>
      <c r="E365">
        <v>0.58333333333333326</v>
      </c>
      <c r="F365">
        <v>0</v>
      </c>
      <c r="G365">
        <v>0.58333333333333326</v>
      </c>
    </row>
    <row r="366" spans="1:7" x14ac:dyDescent="0.15">
      <c r="A366" t="str">
        <f>HYPERLINK("./new_k5/query_cmdrels_weight_analyze/0.5_0.1_0.4/ul_159672.xlsx","ul_159672")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HYPERLINK("./new_k5/query_cmdrels_weight_analyze/0.5_0.1_0.4/ul_163845.xlsx","ul_163845")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HYPERLINK("./new_k5/query_cmdrels_weight_analyze/0.5_0.1_0.4/ul_16407.xlsx","ul_16407")</f>
        <v>ul_16407</v>
      </c>
      <c r="B368">
        <v>0.5</v>
      </c>
      <c r="C368">
        <v>0.5</v>
      </c>
      <c r="D368">
        <v>0.5</v>
      </c>
      <c r="E368">
        <v>0.83333333333333326</v>
      </c>
      <c r="F368">
        <v>0.75</v>
      </c>
      <c r="G368">
        <v>0.83333333333333326</v>
      </c>
    </row>
    <row r="369" spans="1:7" x14ac:dyDescent="0.15">
      <c r="A369" t="str">
        <f>HYPERLINK("./new_k5/query_cmdrels_weight_analyze/0.5_0.1_0.4/ul_166558.xlsx","ul_166558")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HYPERLINK("./new_k5/query_cmdrels_weight_analyze/0.5_0.1_0.4/ul_171314.xlsx","ul_171314")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0.35</v>
      </c>
    </row>
    <row r="371" spans="1:7" x14ac:dyDescent="0.15">
      <c r="A371" t="str">
        <f>HYPERLINK("./new_k5/query_cmdrels_weight_analyze/0.5_0.1_0.4/ul_182032.xlsx","ul_182032")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HYPERLINK("./new_k5/query_cmdrels_weight_analyze/0.5_0.1_0.4/ul_19344.xlsx","ul_19344")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HYPERLINK("./new_k5/query_cmdrels_weight_analyze/0.5_0.1_0.4/ul_19369.xlsx","ul_19369")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HYPERLINK("./new_k5/query_cmdrels_weight_analyze/0.5_0.1_0.4/ul_19485.xlsx","ul_19485")</f>
        <v>ul_19485</v>
      </c>
      <c r="B374">
        <v>0</v>
      </c>
      <c r="C374">
        <v>0</v>
      </c>
      <c r="D374">
        <v>0</v>
      </c>
      <c r="E374">
        <v>0.33333333333333331</v>
      </c>
      <c r="F374">
        <v>0</v>
      </c>
      <c r="G374">
        <v>0.33333333333333331</v>
      </c>
    </row>
    <row r="375" spans="1:7" x14ac:dyDescent="0.15">
      <c r="A375" t="str">
        <f>HYPERLINK("./new_k5/query_cmdrels_weight_analyze/0.5_0.1_0.4/ul_20370.xlsx","ul_20370")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0.125</v>
      </c>
    </row>
    <row r="376" spans="1:7" x14ac:dyDescent="0.15">
      <c r="A376" t="str">
        <f>HYPERLINK("./new_k5/query_cmdrels_weight_analyze/0.5_0.1_0.4/ul_211817.xlsx","ul_211817")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HYPERLINK("./new_k5/query_cmdrels_weight_analyze/0.5_0.1_0.4/ul_212925.xlsx","ul_212925")</f>
        <v>ul_212925</v>
      </c>
      <c r="B377">
        <v>0</v>
      </c>
      <c r="C377">
        <v>0</v>
      </c>
      <c r="D377">
        <v>0</v>
      </c>
      <c r="E377">
        <v>0.5</v>
      </c>
      <c r="F377">
        <v>0</v>
      </c>
      <c r="G377">
        <v>0.5</v>
      </c>
    </row>
    <row r="378" spans="1:7" x14ac:dyDescent="0.15">
      <c r="A378" t="str">
        <f>HYPERLINK("./new_k5/query_cmdrels_weight_analyze/0.5_0.1_0.4/ul_21471.xlsx","ul_21471")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HYPERLINK("./new_k5/query_cmdrels_weight_analyze/0.5_0.1_0.4/ul_22545.xlsx","ul_22545")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HYPERLINK("./new_k5/query_cmdrels_weight_analyze/0.5_0.1_0.4/ul_230481.xlsx","ul_230481")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HYPERLINK("./new_k5/query_cmdrels_weight_analyze/0.5_0.1_0.4/ul_230673.xlsx","ul_230673")</f>
        <v>ul_230673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0.125</v>
      </c>
    </row>
    <row r="382" spans="1:7" x14ac:dyDescent="0.15">
      <c r="A382" t="str">
        <f>HYPERLINK("./new_k5/query_cmdrels_weight_analyze/0.5_0.1_0.4/ul_230800.xlsx","ul_230800")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HYPERLINK("./new_k5/query_cmdrels_weight_analyze/0.5_0.1_0.4/ul_232384.xlsx","ul_232384")</f>
        <v>ul_232384</v>
      </c>
      <c r="B383">
        <v>0</v>
      </c>
      <c r="C383">
        <v>0.5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HYPERLINK("./new_k5/query_cmdrels_weight_analyze/0.5_0.1_0.4/ul_24441.xlsx","ul_24441")</f>
        <v>ul_24441</v>
      </c>
      <c r="B384">
        <v>0</v>
      </c>
      <c r="C384">
        <v>0</v>
      </c>
      <c r="D384">
        <v>0</v>
      </c>
      <c r="E384">
        <v>0.25</v>
      </c>
      <c r="F384">
        <v>0</v>
      </c>
      <c r="G384">
        <v>0.25</v>
      </c>
    </row>
    <row r="385" spans="1:7" x14ac:dyDescent="0.15">
      <c r="A385" t="str">
        <f>HYPERLINK("./new_k5/query_cmdrels_weight_analyze/0.5_0.1_0.4/ul_246535.xlsx","ul_246535")</f>
        <v>ul_246535</v>
      </c>
      <c r="B385">
        <v>0.2</v>
      </c>
      <c r="C385">
        <v>0.2</v>
      </c>
      <c r="D385">
        <v>0.2</v>
      </c>
      <c r="E385">
        <v>0.2</v>
      </c>
      <c r="F385">
        <v>0.2</v>
      </c>
      <c r="G385">
        <v>0.42</v>
      </c>
    </row>
    <row r="386" spans="1:7" x14ac:dyDescent="0.15">
      <c r="A386" t="str">
        <f>HYPERLINK("./new_k5/query_cmdrels_weight_analyze/0.5_0.1_0.4/ul_259791.xlsx","ul_259791")</f>
        <v>ul_259791</v>
      </c>
      <c r="B386">
        <v>1</v>
      </c>
      <c r="C386">
        <v>0</v>
      </c>
      <c r="D386">
        <v>1</v>
      </c>
      <c r="E386">
        <v>0.33333333333333331</v>
      </c>
      <c r="F386">
        <v>1</v>
      </c>
      <c r="G386">
        <v>0.33333333333333331</v>
      </c>
    </row>
    <row r="387" spans="1:7" x14ac:dyDescent="0.15">
      <c r="A387" t="str">
        <f>HYPERLINK("./new_k5/query_cmdrels_weight_analyze/0.5_0.1_0.4/ul_273971.xlsx","ul_273971")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0.33333333333333331</v>
      </c>
      <c r="F387">
        <v>0.43333333333333329</v>
      </c>
      <c r="G387">
        <v>0.43333333333333329</v>
      </c>
    </row>
    <row r="388" spans="1:7" x14ac:dyDescent="0.15">
      <c r="A388" t="str">
        <f>HYPERLINK("./new_k5/query_cmdrels_weight_analyze/0.5_0.1_0.4/ul_28553.xlsx","ul_28553")</f>
        <v>ul_28553</v>
      </c>
      <c r="B388">
        <v>0.25</v>
      </c>
      <c r="C388">
        <v>0</v>
      </c>
      <c r="D388">
        <v>0.5</v>
      </c>
      <c r="E388">
        <v>0.125</v>
      </c>
      <c r="F388">
        <v>0.5</v>
      </c>
      <c r="G388">
        <v>0.125</v>
      </c>
    </row>
    <row r="389" spans="1:7" x14ac:dyDescent="0.15">
      <c r="A389" t="str">
        <f>HYPERLINK("./new_k5/query_cmdrels_weight_analyze/0.5_0.1_0.4/ul_288521.xlsx","ul_288521")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HYPERLINK("./new_k5/query_cmdrels_weight_analyze/0.5_0.1_0.4/ul_32290.xlsx","ul_32290")</f>
        <v>ul_32290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6.25E-2</v>
      </c>
    </row>
    <row r="391" spans="1:7" x14ac:dyDescent="0.15">
      <c r="A391" t="str">
        <f>HYPERLINK("./new_k5/query_cmdrels_weight_analyze/0.5_0.1_0.4/ul_328882.xlsx","ul_328882")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HYPERLINK("./new_k5/query_cmdrels_weight_analyze/0.5_0.1_0.4/ul_35131.xlsx","ul_35131")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0.66666666666666663</v>
      </c>
    </row>
    <row r="393" spans="1:7" x14ac:dyDescent="0.15">
      <c r="A393" t="str">
        <f>HYPERLINK("./new_k5/query_cmdrels_weight_analyze/0.5_0.1_0.4/ul_35333.xlsx","ul_35333")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HYPERLINK("./new_k5/query_cmdrels_weight_analyze/0.5_0.1_0.4/ul_35711.xlsx","ul_35711")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HYPERLINK("./new_k5/query_cmdrels_weight_analyze/0.5_0.1_0.4/ul_3575.xlsx","ul_3575")</f>
        <v>ul_3575</v>
      </c>
      <c r="B395">
        <v>0</v>
      </c>
      <c r="C395">
        <v>0.16666666666666671</v>
      </c>
      <c r="D395">
        <v>8.3333333333333329E-2</v>
      </c>
      <c r="E395">
        <v>0.16666666666666671</v>
      </c>
      <c r="F395">
        <v>8.3333333333333329E-2</v>
      </c>
      <c r="G395">
        <v>0.16666666666666671</v>
      </c>
    </row>
    <row r="396" spans="1:7" x14ac:dyDescent="0.15">
      <c r="A396" t="str">
        <f>HYPERLINK("./new_k5/query_cmdrels_weight_analyze/0.5_0.1_0.4/ul_35832.xlsx","ul_35832")</f>
        <v>ul_35832</v>
      </c>
      <c r="B396">
        <v>0.5</v>
      </c>
      <c r="C396">
        <v>0.5</v>
      </c>
      <c r="D396">
        <v>0.5</v>
      </c>
      <c r="E396">
        <v>1</v>
      </c>
      <c r="F396">
        <v>0.5</v>
      </c>
      <c r="G396">
        <v>1</v>
      </c>
    </row>
    <row r="397" spans="1:7" x14ac:dyDescent="0.15">
      <c r="A397" t="str">
        <f>HYPERLINK("./new_k5/query_cmdrels_weight_analyze/0.5_0.1_0.4/ul_370318.xlsx","ul_370318")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0.2857142857142857</v>
      </c>
      <c r="F397">
        <v>0.14285714285714279</v>
      </c>
      <c r="G397">
        <v>0.39285714285714279</v>
      </c>
    </row>
    <row r="398" spans="1:7" x14ac:dyDescent="0.15">
      <c r="A398" t="str">
        <f>HYPERLINK("./new_k5/query_cmdrels_weight_analyze/0.5_0.1_0.4/ul_37329.xlsx","ul_37329")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0.55555555555555547</v>
      </c>
      <c r="F398">
        <v>0.33333333333333331</v>
      </c>
      <c r="G398">
        <v>0.55555555555555547</v>
      </c>
    </row>
    <row r="399" spans="1:7" x14ac:dyDescent="0.15">
      <c r="A399" t="str">
        <f>HYPERLINK("./new_k5/query_cmdrels_weight_analyze/0.5_0.1_0.4/ul_38209.xlsx","ul_38209")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HYPERLINK("./new_k5/query_cmdrels_weight_analyze/0.5_0.1_0.4/ul_41246.xlsx","ul_41246")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HYPERLINK("./new_k5/query_cmdrels_weight_analyze/0.5_0.1_0.4/ul_41362.xlsx","ul_41362")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6.25E-2</v>
      </c>
    </row>
    <row r="402" spans="1:7" x14ac:dyDescent="0.15">
      <c r="A402" t="str">
        <f>HYPERLINK("./new_k5/query_cmdrels_weight_analyze/0.5_0.1_0.4/ul_48200.xlsx","ul_48200")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HYPERLINK("./new_k5/query_cmdrels_weight_analyze/0.5_0.1_0.4/ul_50098.xlsx","ul_50098")</f>
        <v>ul_50098</v>
      </c>
      <c r="B403">
        <v>0</v>
      </c>
      <c r="C403">
        <v>0.1</v>
      </c>
      <c r="D403">
        <v>0.1166666666666667</v>
      </c>
      <c r="E403">
        <v>0.16666666666666671</v>
      </c>
      <c r="F403">
        <v>0.1166666666666667</v>
      </c>
      <c r="G403">
        <v>0.24166666666666661</v>
      </c>
    </row>
    <row r="404" spans="1:7" x14ac:dyDescent="0.15">
      <c r="A404" t="str">
        <f>HYPERLINK("./new_k5/query_cmdrels_weight_analyze/0.5_0.1_0.4/ul_50785.xlsx","ul_50785")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HYPERLINK("./new_k5/query_cmdrels_weight_analyze/0.5_0.1_0.4/ul_5085.xlsx","ul_5085")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HYPERLINK("./new_k5/query_cmdrels_weight_analyze/0.5_0.1_0.4/ul_53737.xlsx","ul_53737")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HYPERLINK("./new_k5/query_cmdrels_weight_analyze/0.5_0.1_0.4/ul_55125.xlsx","ul_55125")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HYPERLINK("./new_k5/query_cmdrels_weight_analyze/0.5_0.1_0.4/ul_56453.xlsx","ul_56453")</f>
        <v>ul_56453</v>
      </c>
      <c r="B408">
        <v>0</v>
      </c>
      <c r="C408">
        <v>0</v>
      </c>
      <c r="D408">
        <v>8.3333333333333329E-2</v>
      </c>
      <c r="E408">
        <v>0.125</v>
      </c>
      <c r="F408">
        <v>8.3333333333333329E-2</v>
      </c>
      <c r="G408">
        <v>0.125</v>
      </c>
    </row>
    <row r="409" spans="1:7" x14ac:dyDescent="0.15">
      <c r="A409" t="str">
        <f>HYPERLINK("./new_k5/query_cmdrels_weight_analyze/0.5_0.1_0.4/ul_63648.xlsx","ul_63648")</f>
        <v>ul_63648</v>
      </c>
      <c r="B409">
        <v>0</v>
      </c>
      <c r="C409">
        <v>0.25</v>
      </c>
      <c r="D409">
        <v>0.125</v>
      </c>
      <c r="E409">
        <v>0.25</v>
      </c>
      <c r="F409">
        <v>0.25</v>
      </c>
      <c r="G409">
        <v>0.25</v>
      </c>
    </row>
    <row r="410" spans="1:7" x14ac:dyDescent="0.15">
      <c r="A410" t="str">
        <f>HYPERLINK("./new_k5/query_cmdrels_weight_analyze/0.5_0.1_0.4/ul_6402.xlsx","ul_6402")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0.33333333333333331</v>
      </c>
    </row>
    <row r="411" spans="1:7" x14ac:dyDescent="0.15">
      <c r="A411" t="str">
        <f>HYPERLINK("./new_k5/query_cmdrels_weight_analyze/0.5_0.1_0.4/ul_65106.xlsx","ul_65106")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0.91666666666666663</v>
      </c>
    </row>
    <row r="412" spans="1:7" x14ac:dyDescent="0.15">
      <c r="A412" t="str">
        <f>HYPERLINK("./new_k5/query_cmdrels_weight_analyze/0.5_0.1_0.4/ul_65932.xlsx","ul_65932")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HYPERLINK("./new_k5/query_cmdrels_weight_analyze/0.5_0.1_0.4/ul_6596.xlsx","ul_6596")</f>
        <v>ul_6596</v>
      </c>
      <c r="B413">
        <v>0.2</v>
      </c>
      <c r="C413">
        <v>0.2</v>
      </c>
      <c r="D413">
        <v>0.6</v>
      </c>
      <c r="E413">
        <v>0.6</v>
      </c>
      <c r="F413">
        <v>0.6</v>
      </c>
      <c r="G413">
        <v>0.76</v>
      </c>
    </row>
    <row r="414" spans="1:7" x14ac:dyDescent="0.15">
      <c r="A414" t="str">
        <f>HYPERLINK("./new_k5/query_cmdrels_weight_analyze/0.5_0.1_0.4/ul_67503.xlsx","ul_67503")</f>
        <v>ul_67503</v>
      </c>
      <c r="B414">
        <v>0</v>
      </c>
      <c r="C414">
        <v>0.5</v>
      </c>
      <c r="D414">
        <v>0.25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HYPERLINK("./new_k5/query_cmdrels_weight_analyze/0.5_0.1_0.4/ul_67592.xlsx","ul_67592")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HYPERLINK("./new_k5/query_cmdrels_weight_analyze/0.5_0.1_0.4/ul_70581.xlsx","ul_70581")</f>
        <v>ul_70581</v>
      </c>
      <c r="B416">
        <v>0</v>
      </c>
      <c r="C416">
        <v>0.2</v>
      </c>
      <c r="D416">
        <v>0.1</v>
      </c>
      <c r="E416">
        <v>0.2</v>
      </c>
      <c r="F416">
        <v>0.1</v>
      </c>
      <c r="G416">
        <v>0.3</v>
      </c>
    </row>
    <row r="417" spans="1:7" x14ac:dyDescent="0.15">
      <c r="A417" t="str">
        <f>HYPERLINK("./new_k5/query_cmdrels_weight_analyze/0.5_0.1_0.4/ul_70614.xlsx","ul_70614")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HYPERLINK("./new_k5/query_cmdrels_weight_analyze/0.5_0.1_0.4/ul_71465.xlsx","ul_71465")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HYPERLINK("./new_k5/query_cmdrels_weight_analyze/0.5_0.1_0.4/ul_7226.xlsx","ul_7226")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0.55555555555555547</v>
      </c>
      <c r="F419">
        <v>0.33333333333333331</v>
      </c>
      <c r="G419">
        <v>0.55555555555555547</v>
      </c>
    </row>
    <row r="420" spans="1:7" x14ac:dyDescent="0.15">
      <c r="A420" t="str">
        <f>HYPERLINK("./new_k5/query_cmdrels_weight_analyze/0.5_0.1_0.4/ul_78182.xlsx","ul_78182")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HYPERLINK("./new_k5/query_cmdrels_weight_analyze/0.5_0.1_0.4/ul_79678.xlsx","ul_79678")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HYPERLINK("./new_k5/query_cmdrels_weight_analyze/0.5_0.1_0.4/ul_79702.xlsx","ul_79702")</f>
        <v>ul_79702</v>
      </c>
      <c r="B422">
        <v>0</v>
      </c>
      <c r="C422">
        <v>0.33333333333333331</v>
      </c>
      <c r="D422">
        <v>0</v>
      </c>
      <c r="E422">
        <v>0.66666666666666663</v>
      </c>
      <c r="F422">
        <v>0</v>
      </c>
      <c r="G422">
        <v>0.91666666666666663</v>
      </c>
    </row>
    <row r="423" spans="1:7" x14ac:dyDescent="0.15">
      <c r="A423" t="str">
        <f>HYPERLINK("./new_k5/query_cmdrels_weight_analyze/0.5_0.1_0.4/ul_83593.xlsx","ul_83593")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HYPERLINK("./new_k5/query_cmdrels_weight_analyze/0.5_0.1_0.4/ul_84381.xlsx","ul_84381")</f>
        <v>ul_84381</v>
      </c>
      <c r="B424">
        <v>0</v>
      </c>
      <c r="C424">
        <v>0.33333333333333331</v>
      </c>
      <c r="D424">
        <v>0.16666666666666671</v>
      </c>
      <c r="E424">
        <v>0.33333333333333331</v>
      </c>
      <c r="F424">
        <v>0.16666666666666671</v>
      </c>
      <c r="G424">
        <v>0.33333333333333331</v>
      </c>
    </row>
    <row r="425" spans="1:7" x14ac:dyDescent="0.15">
      <c r="A425" t="str">
        <f>HYPERLINK("./new_k5/query_cmdrels_weight_analyze/0.5_0.1_0.4/ul_85180.xlsx","ul_85180")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0.1111111111111111</v>
      </c>
    </row>
    <row r="426" spans="1:7" x14ac:dyDescent="0.15">
      <c r="A426" t="str">
        <f>HYPERLINK("./new_k5/query_cmdrels_weight_analyze/0.5_0.1_0.4/ul_86071.xlsx","ul_86071")</f>
        <v>ul_86071</v>
      </c>
      <c r="B426">
        <v>0</v>
      </c>
      <c r="C426">
        <v>0</v>
      </c>
      <c r="D426">
        <v>0</v>
      </c>
      <c r="E426">
        <v>0.25</v>
      </c>
      <c r="F426">
        <v>0</v>
      </c>
      <c r="G426">
        <v>0.25</v>
      </c>
    </row>
    <row r="427" spans="1:7" x14ac:dyDescent="0.15">
      <c r="A427" t="str">
        <f>HYPERLINK("./new_k5/query_cmdrels_weight_analyze/0.5_0.1_0.4/ul_86729.xlsx","ul_86729")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HYPERLINK("./new_k5/query_cmdrels_weight_analyze/0.5_0.1_0.4/ul_88824.xlsx","ul_88824")</f>
        <v>ul_88824</v>
      </c>
      <c r="B428">
        <v>0</v>
      </c>
      <c r="C428">
        <v>0.33333333333333331</v>
      </c>
      <c r="D428">
        <v>0</v>
      </c>
      <c r="E428">
        <v>0.66666666666666663</v>
      </c>
      <c r="F428">
        <v>0</v>
      </c>
      <c r="G428">
        <v>0.66666666666666663</v>
      </c>
    </row>
    <row r="429" spans="1:7" x14ac:dyDescent="0.15">
      <c r="A429" t="str">
        <f>HYPERLINK("./new_k5/query_cmdrels_weight_analyze/0.5_0.1_0.4/ul_8945.xlsx","ul_8945")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HYPERLINK("./new_k5/query_cmdrels_weight_analyze/0.5_0.1_0.4/ul_89933.xlsx","ul_89933")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HYPERLINK("./new_k5/query_cmdrels_weight_analyze/0.5_0.1_0.4/ul_91297.xlsx","ul_91297")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HYPERLINK("./new_k5/query_cmdrels_weight_analyze/0.5_0.1_0.4/ul_9252.xlsx","ul_9252")</f>
        <v>ul_9252</v>
      </c>
      <c r="B432">
        <v>0</v>
      </c>
      <c r="C432">
        <v>0</v>
      </c>
      <c r="D432">
        <v>0.23333333333333331</v>
      </c>
      <c r="E432">
        <v>0.1</v>
      </c>
      <c r="F432">
        <v>0.23333333333333331</v>
      </c>
      <c r="G432">
        <v>0.18</v>
      </c>
    </row>
    <row r="433" spans="1:7" x14ac:dyDescent="0.15">
      <c r="A433" t="str">
        <f>HYPERLINK("./new_k5/query_cmdrels_weight_analyze/0.5_0.1_0.4/ul_92560.xlsx","ul_92560")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0.75</v>
      </c>
    </row>
    <row r="434" spans="1:7" x14ac:dyDescent="0.15">
      <c r="A434" t="str">
        <f>HYPERLINK("./new_k5/query_cmdrels_weight_analyze/0.5_0.1_0.4/ul_92799.xlsx","ul_92799")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0.27777777777777768</v>
      </c>
      <c r="F434">
        <v>0.53611111111111109</v>
      </c>
      <c r="G434">
        <v>0.53611111111111109</v>
      </c>
    </row>
    <row r="435" spans="1:7" x14ac:dyDescent="0.15">
      <c r="A435" t="str">
        <f>HYPERLINK("./new_k5/query_cmdrels_weight_analyze/0.5_0.1_0.4/ul_93139.xlsx","ul_93139")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HYPERLINK("./new_k5/query_cmdrels_weight_analyze/0.5_0.1_0.4/ul_98461.xlsx","ul_98461")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HYPERLINK("./new_k5/query_cmdrels_weight_analyze/0.5_0.2_0.3/au_102733.xlsx","au_102733")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HYPERLINK("./new_k5/query_cmdrels_weight_analyze/0.5_0.2_0.3/au_1029436.xlsx","au_1029436")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HYPERLINK("./new_k5/query_cmdrels_weight_analyze/0.5_0.2_0.3/au_1029502.xlsx","au_1029502")</f>
        <v>au_1029502</v>
      </c>
      <c r="B5">
        <v>0.25</v>
      </c>
      <c r="C5">
        <v>0</v>
      </c>
      <c r="D5">
        <v>0.25</v>
      </c>
      <c r="E5">
        <v>8.3333333333333329E-2</v>
      </c>
      <c r="F5">
        <v>0.375</v>
      </c>
      <c r="G5">
        <v>8.3333333333333329E-2</v>
      </c>
    </row>
    <row r="6" spans="1:7" x14ac:dyDescent="0.15">
      <c r="A6" t="str">
        <f>HYPERLINK("./new_k5/query_cmdrels_weight_analyze/0.5_0.2_0.3/au_1029531.xlsx","au_1029531")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HYPERLINK("./new_k5/query_cmdrels_weight_analyze/0.5_0.2_0.3/au_104542.xlsx","au_104542")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HYPERLINK("./new_k5/query_cmdrels_weight_analyze/0.5_0.2_0.3/au_109070.xlsx","au_109070")</f>
        <v>au_109070</v>
      </c>
      <c r="B8">
        <v>0</v>
      </c>
      <c r="C8">
        <v>0</v>
      </c>
      <c r="D8">
        <v>0.23333333333333331</v>
      </c>
      <c r="E8">
        <v>0</v>
      </c>
      <c r="F8">
        <v>0.3833333333333333</v>
      </c>
      <c r="G8">
        <v>0.05</v>
      </c>
    </row>
    <row r="9" spans="1:7" x14ac:dyDescent="0.15">
      <c r="A9" t="str">
        <f>HYPERLINK("./new_k5/query_cmdrels_weight_analyze/0.5_0.2_0.3/au_109381.xlsx","au_109381")</f>
        <v>au_109381</v>
      </c>
      <c r="B9">
        <v>0</v>
      </c>
      <c r="C9">
        <v>0</v>
      </c>
      <c r="D9">
        <v>0.25</v>
      </c>
      <c r="E9">
        <v>0.25</v>
      </c>
      <c r="F9">
        <v>0.25</v>
      </c>
      <c r="G9">
        <v>0.25</v>
      </c>
    </row>
    <row r="10" spans="1:7" x14ac:dyDescent="0.15">
      <c r="A10" t="str">
        <f>HYPERLINK("./new_k5/query_cmdrels_weight_analyze/0.5_0.2_0.3/au_110477.xlsx","au_110477")</f>
        <v>au_110477</v>
      </c>
      <c r="B10">
        <v>0.25</v>
      </c>
      <c r="C10">
        <v>0.25</v>
      </c>
      <c r="D10">
        <v>0.5</v>
      </c>
      <c r="E10">
        <v>0.75</v>
      </c>
      <c r="F10">
        <v>0.5</v>
      </c>
      <c r="G10">
        <v>0.75</v>
      </c>
    </row>
    <row r="11" spans="1:7" x14ac:dyDescent="0.15">
      <c r="A11" t="str">
        <f>HYPERLINK("./new_k5/query_cmdrels_weight_analyze/0.5_0.2_0.3/au_111678.xlsx","au_111678")</f>
        <v>au_111678</v>
      </c>
      <c r="B11">
        <v>0</v>
      </c>
      <c r="C11">
        <v>0.33333333333333331</v>
      </c>
      <c r="D11">
        <v>0.1111111111111111</v>
      </c>
      <c r="E11">
        <v>0.33333333333333331</v>
      </c>
      <c r="F11">
        <v>0.1111111111111111</v>
      </c>
      <c r="G11">
        <v>0.33333333333333331</v>
      </c>
    </row>
    <row r="12" spans="1:7" x14ac:dyDescent="0.15">
      <c r="A12" t="str">
        <f>HYPERLINK("./new_k5/query_cmdrels_weight_analyze/0.5_0.2_0.3/au_112512.xlsx","au_112512")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HYPERLINK("./new_k5/query_cmdrels_weight_analyze/0.5_0.2_0.3/au_115369.xlsx","au_115369")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HYPERLINK("./new_k5/query_cmdrels_weight_analyze/0.5_0.2_0.3/au_11789.xlsx","au_11789")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HYPERLINK("./new_k5/query_cmdrels_weight_analyze/0.5_0.2_0.3/au_117950.xlsx","au_117950")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0.125</v>
      </c>
    </row>
    <row r="16" spans="1:7" x14ac:dyDescent="0.15">
      <c r="A16" t="str">
        <f>HYPERLINK("./new_k5/query_cmdrels_weight_analyze/0.5_0.2_0.3/au_122113.xlsx","au_122113")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HYPERLINK("./new_k5/query_cmdrels_weight_analyze/0.5_0.2_0.3/au_123798.xlsx","au_123798")</f>
        <v>au_123798</v>
      </c>
      <c r="B17">
        <v>0</v>
      </c>
      <c r="C17">
        <v>0</v>
      </c>
      <c r="D17">
        <v>5.5555555555555552E-2</v>
      </c>
      <c r="E17">
        <v>8.3333333333333329E-2</v>
      </c>
      <c r="F17">
        <v>0.23888888888888879</v>
      </c>
      <c r="G17">
        <v>0.26666666666666672</v>
      </c>
    </row>
    <row r="18" spans="1:7" x14ac:dyDescent="0.15">
      <c r="A18" t="str">
        <f>HYPERLINK("./new_k5/query_cmdrels_weight_analyze/0.5_0.2_0.3/au_125257.xlsx","au_125257")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HYPERLINK("./new_k5/query_cmdrels_weight_analyze/0.5_0.2_0.3/au_126153.xlsx","au_126153")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0.27777777777777768</v>
      </c>
      <c r="F19">
        <v>0.45833333333333331</v>
      </c>
      <c r="G19">
        <v>0.40277777777777768</v>
      </c>
    </row>
    <row r="20" spans="1:7" x14ac:dyDescent="0.15">
      <c r="A20" t="str">
        <f>HYPERLINK("./new_k5/query_cmdrels_weight_analyze/0.5_0.2_0.3/au_127326.xlsx","au_127326")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HYPERLINK("./new_k5/query_cmdrels_weight_analyze/0.5_0.2_0.3/au_128463.xlsx","au_128463")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HYPERLINK("./new_k5/query_cmdrels_weight_analyze/0.5_0.2_0.3/au_130393.xlsx","au_130393")</f>
        <v>au_130393</v>
      </c>
      <c r="B22">
        <v>0</v>
      </c>
      <c r="C22">
        <v>0</v>
      </c>
      <c r="D22">
        <v>0.125</v>
      </c>
      <c r="E22">
        <v>0.125</v>
      </c>
      <c r="F22">
        <v>0.125</v>
      </c>
      <c r="G22">
        <v>0.25</v>
      </c>
    </row>
    <row r="23" spans="1:7" x14ac:dyDescent="0.15">
      <c r="A23" t="str">
        <f>HYPERLINK("./new_k5/query_cmdrels_weight_analyze/0.5_0.2_0.3/au_131570.xlsx","au_131570")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HYPERLINK("./new_k5/query_cmdrels_weight_analyze/0.5_0.2_0.3/au_133318.xlsx","au_133318")</f>
        <v>au_133318</v>
      </c>
      <c r="B24">
        <v>0</v>
      </c>
      <c r="C24">
        <v>0.25</v>
      </c>
      <c r="D24">
        <v>0</v>
      </c>
      <c r="E24">
        <v>0.25</v>
      </c>
      <c r="F24">
        <v>0</v>
      </c>
      <c r="G24">
        <v>0.375</v>
      </c>
    </row>
    <row r="25" spans="1:7" x14ac:dyDescent="0.15">
      <c r="A25" t="str">
        <f>HYPERLINK("./new_k5/query_cmdrels_weight_analyze/0.5_0.2_0.3/au_133343.xlsx","au_133343")</f>
        <v>au_133343</v>
      </c>
      <c r="B25">
        <v>0</v>
      </c>
      <c r="C25">
        <v>0</v>
      </c>
      <c r="D25">
        <v>0</v>
      </c>
      <c r="E25">
        <v>0.38888888888888878</v>
      </c>
      <c r="F25">
        <v>0</v>
      </c>
      <c r="G25">
        <v>0.38888888888888878</v>
      </c>
    </row>
    <row r="26" spans="1:7" x14ac:dyDescent="0.15">
      <c r="A26" t="str">
        <f>HYPERLINK("./new_k5/query_cmdrels_weight_analyze/0.5_0.2_0.3/au_133389.xlsx","au_133389")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HYPERLINK("./new_k5/query_cmdrels_weight_analyze/0.5_0.2_0.3/au_141277.xlsx","au_141277")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HYPERLINK("./new_k5/query_cmdrels_weight_analyze/0.5_0.2_0.3/au_143819.xlsx","au_143819")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HYPERLINK("./new_k5/query_cmdrels_weight_analyze/0.5_0.2_0.3/au_145935.xlsx","au_145935")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HYPERLINK("./new_k5/query_cmdrels_weight_analyze/0.5_0.2_0.3/au_147241.xlsx","au_147241")</f>
        <v>au_147241</v>
      </c>
      <c r="B30">
        <v>0</v>
      </c>
      <c r="C30">
        <v>0</v>
      </c>
      <c r="D30">
        <v>0.29166666666666657</v>
      </c>
      <c r="E30">
        <v>0.29166666666666657</v>
      </c>
      <c r="F30">
        <v>0.29166666666666657</v>
      </c>
      <c r="G30">
        <v>0.47916666666666657</v>
      </c>
    </row>
    <row r="31" spans="1:7" x14ac:dyDescent="0.15">
      <c r="A31" t="str">
        <f>HYPERLINK("./new_k5/query_cmdrels_weight_analyze/0.5_0.2_0.3/au_147800.xlsx","au_147800")</f>
        <v>au_147800</v>
      </c>
      <c r="B31">
        <v>0</v>
      </c>
      <c r="C31">
        <v>0.33333333333333331</v>
      </c>
      <c r="D31">
        <v>0.1111111111111111</v>
      </c>
      <c r="E31">
        <v>0.33333333333333331</v>
      </c>
      <c r="F31">
        <v>0.1111111111111111</v>
      </c>
      <c r="G31">
        <v>0.33333333333333331</v>
      </c>
    </row>
    <row r="32" spans="1:7" x14ac:dyDescent="0.15">
      <c r="A32" t="str">
        <f>HYPERLINK("./new_k5/query_cmdrels_weight_analyze/0.5_0.2_0.3/au_148321.xlsx","au_148321")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0.40277777777777768</v>
      </c>
    </row>
    <row r="33" spans="1:7" x14ac:dyDescent="0.15">
      <c r="A33" t="str">
        <f>HYPERLINK("./new_k5/query_cmdrels_weight_analyze/0.5_0.2_0.3/au_148638.xlsx","au_148638")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HYPERLINK("./new_k5/query_cmdrels_weight_analyze/0.5_0.2_0.3/au_151049.xlsx","au_151049")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HYPERLINK("./new_k5/query_cmdrels_weight_analyze/0.5_0.2_0.3/au_151941.xlsx","au_151941")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HYPERLINK("./new_k5/query_cmdrels_weight_analyze/0.5_0.2_0.3/au_152297.xlsx","au_152297")</f>
        <v>au_152297</v>
      </c>
      <c r="B36">
        <v>0</v>
      </c>
      <c r="C36">
        <v>0</v>
      </c>
      <c r="D36">
        <v>7.1428571428571425E-2</v>
      </c>
      <c r="E36">
        <v>0.16666666666666671</v>
      </c>
      <c r="F36">
        <v>7.1428571428571425E-2</v>
      </c>
      <c r="G36">
        <v>0.27380952380952378</v>
      </c>
    </row>
    <row r="37" spans="1:7" x14ac:dyDescent="0.15">
      <c r="A37" t="str">
        <f>HYPERLINK("./new_k5/query_cmdrels_weight_analyze/0.5_0.2_0.3/au_153976.xlsx","au_153976")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0.27777777777777768</v>
      </c>
      <c r="F37">
        <v>0.33333333333333331</v>
      </c>
      <c r="G37">
        <v>0.37777777777777782</v>
      </c>
    </row>
    <row r="38" spans="1:7" x14ac:dyDescent="0.15">
      <c r="A38" t="str">
        <f>HYPERLINK("./new_k5/query_cmdrels_weight_analyze/0.5_0.2_0.3/au_154431.xlsx","au_154431")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HYPERLINK("./new_k5/query_cmdrels_weight_analyze/0.5_0.2_0.3/au_159708.xlsx","au_159708")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0.33333333333333331</v>
      </c>
      <c r="F39">
        <v>0.33333333333333331</v>
      </c>
      <c r="G39">
        <v>0.33333333333333331</v>
      </c>
    </row>
    <row r="40" spans="1:7" x14ac:dyDescent="0.15">
      <c r="A40" t="str">
        <f>HYPERLINK("./new_k5/query_cmdrels_weight_analyze/0.5_0.2_0.3/au_160869.xlsx","au_160869")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HYPERLINK("./new_k5/query_cmdrels_weight_analyze/0.5_0.2_0.3/au_161313.xlsx","au_161313")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</v>
      </c>
    </row>
    <row r="42" spans="1:7" x14ac:dyDescent="0.15">
      <c r="A42" t="str">
        <f>HYPERLINK("./new_k5/query_cmdrels_weight_analyze/0.5_0.2_0.3/au_162075.xlsx","au_162075")</f>
        <v>au_162075</v>
      </c>
      <c r="B42">
        <v>0.25</v>
      </c>
      <c r="C42">
        <v>0.25</v>
      </c>
      <c r="D42">
        <v>0.5</v>
      </c>
      <c r="E42">
        <v>0.5</v>
      </c>
      <c r="F42">
        <v>0.5</v>
      </c>
      <c r="G42">
        <v>0.5</v>
      </c>
    </row>
    <row r="43" spans="1:7" x14ac:dyDescent="0.15">
      <c r="A43" t="str">
        <f>HYPERLINK("./new_k5/query_cmdrels_weight_analyze/0.5_0.2_0.3/au_16277.xlsx","au_16277")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0.66666666666666663</v>
      </c>
    </row>
    <row r="44" spans="1:7" x14ac:dyDescent="0.15">
      <c r="A44" t="str">
        <f>HYPERLINK("./new_k5/query_cmdrels_weight_analyze/0.5_0.2_0.3/au_163155.xlsx","au_163155")</f>
        <v>au_163155</v>
      </c>
      <c r="B44">
        <v>0.125</v>
      </c>
      <c r="C44">
        <v>0.125</v>
      </c>
      <c r="D44">
        <v>0.375</v>
      </c>
      <c r="E44">
        <v>0.375</v>
      </c>
      <c r="F44">
        <v>0.5</v>
      </c>
      <c r="G44">
        <v>0.5</v>
      </c>
    </row>
    <row r="45" spans="1:7" x14ac:dyDescent="0.15">
      <c r="A45" t="str">
        <f>HYPERLINK("./new_k5/query_cmdrels_weight_analyze/0.5_0.2_0.3/au_164473.xlsx","au_164473")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HYPERLINK("./new_k5/query_cmdrels_weight_analyze/0.5_0.2_0.3/au_16584.xlsx","au_16584")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9.0909090909090912E-2</v>
      </c>
      <c r="F46">
        <v>0.13636363636363641</v>
      </c>
      <c r="G46">
        <v>9.0909090909090912E-2</v>
      </c>
    </row>
    <row r="47" spans="1:7" x14ac:dyDescent="0.15">
      <c r="A47" t="str">
        <f>HYPERLINK("./new_k5/query_cmdrels_weight_analyze/0.5_0.2_0.3/au_166420.xlsx","au_166420")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HYPERLINK("./new_k5/query_cmdrels_weight_analyze/0.5_0.2_0.3/au_169473.xlsx","au_169473")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0.16666666666666671</v>
      </c>
      <c r="F48">
        <v>0.43333333333333329</v>
      </c>
      <c r="G48">
        <v>0.35</v>
      </c>
    </row>
    <row r="49" spans="1:7" x14ac:dyDescent="0.15">
      <c r="A49" t="str">
        <f>HYPERLINK("./new_k5/query_cmdrels_weight_analyze/0.5_0.2_0.3/au_169516.xlsx","au_169516")</f>
        <v>au_169516</v>
      </c>
      <c r="B49">
        <v>0.25</v>
      </c>
      <c r="C49">
        <v>0.25</v>
      </c>
      <c r="D49">
        <v>0.25</v>
      </c>
      <c r="E49">
        <v>0.41666666666666657</v>
      </c>
      <c r="F49">
        <v>0.25</v>
      </c>
      <c r="G49">
        <v>0.41666666666666657</v>
      </c>
    </row>
    <row r="50" spans="1:7" x14ac:dyDescent="0.15">
      <c r="A50" t="str">
        <f>HYPERLINK("./new_k5/query_cmdrels_weight_analyze/0.5_0.2_0.3/au_174292.xlsx","au_174292")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HYPERLINK("./new_k5/query_cmdrels_weight_analyze/0.5_0.2_0.3/au_178481.xlsx","au_178481")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HYPERLINK("./new_k5/query_cmdrels_weight_analyze/0.5_0.2_0.3/au_180925.xlsx","au_180925")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HYPERLINK("./new_k5/query_cmdrels_weight_analyze/0.5_0.2_0.3/au_187888.xlsx","au_187888")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HYPERLINK("./new_k5/query_cmdrels_weight_analyze/0.5_0.2_0.3/au_191390.xlsx","au_191390")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HYPERLINK("./new_k5/query_cmdrels_weight_analyze/0.5_0.2_0.3/au_192798.xlsx","au_192798")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HYPERLINK("./new_k5/query_cmdrels_weight_analyze/0.5_0.2_0.3/au_201775.xlsx","au_201775")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0.55555555555555547</v>
      </c>
      <c r="F56">
        <v>0.66666666666666663</v>
      </c>
      <c r="G56">
        <v>0.75555555555555554</v>
      </c>
    </row>
    <row r="57" spans="1:7" x14ac:dyDescent="0.15">
      <c r="A57" t="str">
        <f>HYPERLINK("./new_k5/query_cmdrels_weight_analyze/0.5_0.2_0.3/au_204166.xlsx","au_204166")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HYPERLINK("./new_k5/query_cmdrels_weight_analyze/0.5_0.2_0.3/au_207447.xlsx","au_207447")</f>
        <v>au_207447</v>
      </c>
      <c r="B58">
        <v>0.33333333333333331</v>
      </c>
      <c r="C58">
        <v>0.33333333333333331</v>
      </c>
      <c r="D58">
        <v>0.33333333333333331</v>
      </c>
      <c r="E58">
        <v>0.33333333333333331</v>
      </c>
      <c r="F58">
        <v>0.33333333333333331</v>
      </c>
      <c r="G58">
        <v>0.46666666666666662</v>
      </c>
    </row>
    <row r="59" spans="1:7" x14ac:dyDescent="0.15">
      <c r="A59" t="str">
        <f>HYPERLINK("./new_k5/query_cmdrels_weight_analyze/0.5_0.2_0.3/au_210680.xlsx","au_210680")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HYPERLINK("./new_k5/query_cmdrels_weight_analyze/0.5_0.2_0.3/au_214246.xlsx","au_214246")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HYPERLINK("./new_k5/query_cmdrels_weight_analyze/0.5_0.2_0.3/au_214643.xlsx","au_214643")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HYPERLINK("./new_k5/query_cmdrels_weight_analyze/0.5_0.2_0.3/au_2194.xlsx","au_2194")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HYPERLINK("./new_k5/query_cmdrels_weight_analyze/0.5_0.2_0.3/au_221962.xlsx","au_221962")</f>
        <v>au_221962</v>
      </c>
      <c r="B63">
        <v>0</v>
      </c>
      <c r="C63">
        <v>0</v>
      </c>
      <c r="D63">
        <v>5.5555555555555552E-2</v>
      </c>
      <c r="E63">
        <v>8.3333333333333329E-2</v>
      </c>
      <c r="F63">
        <v>0.1388888888888889</v>
      </c>
      <c r="G63">
        <v>0.26666666666666672</v>
      </c>
    </row>
    <row r="64" spans="1:7" x14ac:dyDescent="0.15">
      <c r="A64" t="str">
        <f>HYPERLINK("./new_k5/query_cmdrels_weight_analyze/0.5_0.2_0.3/au_22608.xlsx","au_22608")</f>
        <v>au_22608</v>
      </c>
      <c r="B64">
        <v>0.33333333333333331</v>
      </c>
      <c r="C64">
        <v>0.33333333333333331</v>
      </c>
      <c r="D64">
        <v>0.33333333333333331</v>
      </c>
      <c r="E64">
        <v>0.33333333333333331</v>
      </c>
      <c r="F64">
        <v>0.33333333333333331</v>
      </c>
      <c r="G64">
        <v>0.5</v>
      </c>
    </row>
    <row r="65" spans="1:7" x14ac:dyDescent="0.15">
      <c r="A65" t="str">
        <f>HYPERLINK("./new_k5/query_cmdrels_weight_analyze/0.5_0.2_0.3/au_230698.xlsx","au_230698")</f>
        <v>au_230698</v>
      </c>
      <c r="B65">
        <v>0.125</v>
      </c>
      <c r="C65">
        <v>0.125</v>
      </c>
      <c r="D65">
        <v>0.25</v>
      </c>
      <c r="E65">
        <v>0.25</v>
      </c>
      <c r="F65">
        <v>0.32500000000000001</v>
      </c>
      <c r="G65">
        <v>0.34375</v>
      </c>
    </row>
    <row r="66" spans="1:7" x14ac:dyDescent="0.15">
      <c r="A66" t="str">
        <f>HYPERLINK("./new_k5/query_cmdrels_weight_analyze/0.5_0.2_0.3/au_232442.xlsx","au_232442")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HYPERLINK("./new_k5/query_cmdrels_weight_analyze/0.5_0.2_0.3/au_233378.xlsx","au_233378")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HYPERLINK("./new_k5/query_cmdrels_weight_analyze/0.5_0.2_0.3/au_24027.xlsx","au_24027")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HYPERLINK("./new_k5/query_cmdrels_weight_analyze/0.5_0.2_0.3/au_246647.xlsx","au_246647")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HYPERLINK("./new_k5/query_cmdrels_weight_analyze/0.5_0.2_0.3/au_254424.xlsx","au_254424")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HYPERLINK("./new_k5/query_cmdrels_weight_analyze/0.5_0.2_0.3/au_255890.xlsx","au_255890")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HYPERLINK("./new_k5/query_cmdrels_weight_analyze/0.5_0.2_0.3/au_257248.xlsx","au_257248")</f>
        <v>au_257248</v>
      </c>
      <c r="B72">
        <v>0</v>
      </c>
      <c r="C72">
        <v>0.14285714285714279</v>
      </c>
      <c r="D72">
        <v>0.16666666666666671</v>
      </c>
      <c r="E72">
        <v>0.23809523809523811</v>
      </c>
      <c r="F72">
        <v>0.25238095238095237</v>
      </c>
      <c r="G72">
        <v>0.32380952380952382</v>
      </c>
    </row>
    <row r="73" spans="1:7" x14ac:dyDescent="0.15">
      <c r="A73" t="str">
        <f>HYPERLINK("./new_k5/query_cmdrels_weight_analyze/0.5_0.2_0.3/au_259354.xlsx","au_259354")</f>
        <v>au_259354</v>
      </c>
      <c r="B73">
        <v>0</v>
      </c>
      <c r="C73">
        <v>0.14285714285714279</v>
      </c>
      <c r="D73">
        <v>0.16666666666666671</v>
      </c>
      <c r="E73">
        <v>0.2857142857142857</v>
      </c>
      <c r="F73">
        <v>0.27380952380952378</v>
      </c>
      <c r="G73">
        <v>0.39285714285714279</v>
      </c>
    </row>
    <row r="74" spans="1:7" x14ac:dyDescent="0.15">
      <c r="A74" t="str">
        <f>HYPERLINK("./new_k5/query_cmdrels_weight_analyze/0.5_0.2_0.3/au_263378.xlsx","au_263378")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0.5</v>
      </c>
    </row>
    <row r="75" spans="1:7" x14ac:dyDescent="0.15">
      <c r="A75" t="str">
        <f>HYPERLINK("./new_k5/query_cmdrels_weight_analyze/0.5_0.2_0.3/au_264215.xlsx","au_264215")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HYPERLINK("./new_k5/query_cmdrels_weight_analyze/0.5_0.2_0.3/au_265176.xlsx","au_265176")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HYPERLINK("./new_k5/query_cmdrels_weight_analyze/0.5_0.2_0.3/au_275704.xlsx","au_275704")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HYPERLINK("./new_k5/query_cmdrels_weight_analyze/0.5_0.2_0.3/au_276669.xlsx","au_276669")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HYPERLINK("./new_k5/query_cmdrels_weight_analyze/0.5_0.2_0.3/au_277565.xlsx","au_277565")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HYPERLINK("./new_k5/query_cmdrels_weight_analyze/0.5_0.2_0.3/au_278403.xlsx","au_278403")</f>
        <v>au_278403</v>
      </c>
      <c r="B80">
        <v>0</v>
      </c>
      <c r="C80">
        <v>0</v>
      </c>
      <c r="D80">
        <v>8.3333333333333329E-2</v>
      </c>
      <c r="E80">
        <v>8.3333333333333329E-2</v>
      </c>
      <c r="F80">
        <v>0.20833333333333329</v>
      </c>
      <c r="G80">
        <v>0.20833333333333329</v>
      </c>
    </row>
    <row r="81" spans="1:7" x14ac:dyDescent="0.15">
      <c r="A81" t="str">
        <f>HYPERLINK("./new_k5/query_cmdrels_weight_analyze/0.5_0.2_0.3/au_28039.xlsx","au_28039")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HYPERLINK("./new_k5/query_cmdrels_weight_analyze/0.5_0.2_0.3/au_281509.xlsx","au_281509")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HYPERLINK("./new_k5/query_cmdrels_weight_analyze/0.5_0.2_0.3/au_282806.xlsx","au_282806")</f>
        <v>au_282806</v>
      </c>
      <c r="B83">
        <v>0</v>
      </c>
      <c r="C83">
        <v>0.33333333333333331</v>
      </c>
      <c r="D83">
        <v>0.38888888888888878</v>
      </c>
      <c r="E83">
        <v>0.33333333333333331</v>
      </c>
      <c r="F83">
        <v>0.38888888888888878</v>
      </c>
      <c r="G83">
        <v>0.70000000000000007</v>
      </c>
    </row>
    <row r="84" spans="1:7" x14ac:dyDescent="0.15">
      <c r="A84" t="str">
        <f>HYPERLINK("./new_k5/query_cmdrels_weight_analyze/0.5_0.2_0.3/au_283559.xlsx","au_283559")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HYPERLINK("./new_k5/query_cmdrels_weight_analyze/0.5_0.2_0.3/au_285539.xlsx","au_285539")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HYPERLINK("./new_k5/query_cmdrels_weight_analyze/0.5_0.2_0.3/au_287532.xlsx","au_287532")</f>
        <v>au_287532</v>
      </c>
      <c r="B86">
        <v>0</v>
      </c>
      <c r="C86">
        <v>0</v>
      </c>
      <c r="D86">
        <v>0</v>
      </c>
      <c r="E86">
        <v>8.3333333333333329E-2</v>
      </c>
      <c r="F86">
        <v>0</v>
      </c>
      <c r="G86">
        <v>8.3333333333333329E-2</v>
      </c>
    </row>
    <row r="87" spans="1:7" x14ac:dyDescent="0.15">
      <c r="A87" t="str">
        <f>HYPERLINK("./new_k5/query_cmdrels_weight_analyze/0.5_0.2_0.3/au_294257.xlsx","au_294257")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HYPERLINK("./new_k5/query_cmdrels_weight_analyze/0.5_0.2_0.3/au_296155.xlsx","au_296155")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HYPERLINK("./new_k5/query_cmdrels_weight_analyze/0.5_0.2_0.3/au_299975.xlsx","au_299975")</f>
        <v>au_299975</v>
      </c>
      <c r="B89">
        <v>0.25</v>
      </c>
      <c r="C89">
        <v>0</v>
      </c>
      <c r="D89">
        <v>0.5</v>
      </c>
      <c r="E89">
        <v>8.3333333333333329E-2</v>
      </c>
      <c r="F89">
        <v>0.6875</v>
      </c>
      <c r="G89">
        <v>8.3333333333333329E-2</v>
      </c>
    </row>
    <row r="90" spans="1:7" x14ac:dyDescent="0.15">
      <c r="A90" t="str">
        <f>HYPERLINK("./new_k5/query_cmdrels_weight_analyze/0.5_0.2_0.3/au_301096.xlsx","au_301096")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HYPERLINK("./new_k5/query_cmdrels_weight_analyze/0.5_0.2_0.3/au_303593.xlsx","au_303593")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HYPERLINK("./new_k5/query_cmdrels_weight_analyze/0.5_0.2_0.3/au_303849.xlsx","au_303849")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HYPERLINK("./new_k5/query_cmdrels_weight_analyze/0.5_0.2_0.3/au_307541.xlsx","au_307541")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HYPERLINK("./new_k5/query_cmdrels_weight_analyze/0.5_0.2_0.3/au_307688.xlsx","au_307688")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HYPERLINK("./new_k5/query_cmdrels_weight_analyze/0.5_0.2_0.3/au_309047.xlsx","au_309047")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HYPERLINK("./new_k5/query_cmdrels_weight_analyze/0.5_0.2_0.3/au_311558.xlsx","au_311558")</f>
        <v>au_311558</v>
      </c>
      <c r="B96">
        <v>0</v>
      </c>
      <c r="C96">
        <v>0.25</v>
      </c>
      <c r="D96">
        <v>0.29166666666666657</v>
      </c>
      <c r="E96">
        <v>0.25</v>
      </c>
      <c r="F96">
        <v>0.29166666666666657</v>
      </c>
      <c r="G96">
        <v>0.375</v>
      </c>
    </row>
    <row r="97" spans="1:7" x14ac:dyDescent="0.15">
      <c r="A97" t="str">
        <f>HYPERLINK("./new_k5/query_cmdrels_weight_analyze/0.5_0.2_0.3/au_318973.xlsx","au_318973")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HYPERLINK("./new_k5/query_cmdrels_weight_analyze/0.5_0.2_0.3/au_3205.xlsx","au_3205")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HYPERLINK("./new_k5/query_cmdrels_weight_analyze/0.5_0.2_0.3/au_323131.xlsx","au_323131")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HYPERLINK("./new_k5/query_cmdrels_weight_analyze/0.5_0.2_0.3/au_323392.xlsx","au_323392")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HYPERLINK("./new_k5/query_cmdrels_weight_analyze/0.5_0.2_0.3/au_325368.xlsx","au_325368")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HYPERLINK("./new_k5/query_cmdrels_weight_analyze/0.5_0.2_0.3/au_328162.xlsx","au_328162")</f>
        <v>au_328162</v>
      </c>
      <c r="B102">
        <v>0.33333333333333331</v>
      </c>
      <c r="C102">
        <v>0.33333333333333331</v>
      </c>
      <c r="D102">
        <v>1</v>
      </c>
      <c r="E102">
        <v>0.55555555555555547</v>
      </c>
      <c r="F102">
        <v>1</v>
      </c>
      <c r="G102">
        <v>0.80555555555555547</v>
      </c>
    </row>
    <row r="103" spans="1:7" x14ac:dyDescent="0.15">
      <c r="A103" t="str">
        <f>HYPERLINK("./new_k5/query_cmdrels_weight_analyze/0.5_0.2_0.3/au_330148.xlsx","au_330148")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HYPERLINK("./new_k5/query_cmdrels_weight_analyze/0.5_0.2_0.3/au_332315.xlsx","au_332315")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HYPERLINK("./new_k5/query_cmdrels_weight_analyze/0.5_0.2_0.3/au_334081.xlsx","au_334081")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HYPERLINK("./new_k5/query_cmdrels_weight_analyze/0.5_0.2_0.3/au_34077.xlsx","au_34077")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0.33333333333333331</v>
      </c>
      <c r="F106">
        <v>0.33333333333333331</v>
      </c>
      <c r="G106">
        <v>0.59166666666666667</v>
      </c>
    </row>
    <row r="107" spans="1:7" x14ac:dyDescent="0.15">
      <c r="A107" t="str">
        <f>HYPERLINK("./new_k5/query_cmdrels_weight_analyze/0.5_0.2_0.3/au_341428.xlsx","au_341428")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HYPERLINK("./new_k5/query_cmdrels_weight_analyze/0.5_0.2_0.3/au_341584.xlsx","au_341584")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HYPERLINK("./new_k5/query_cmdrels_weight_analyze/0.5_0.2_0.3/au_346864.xlsx","au_346864")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0.2857142857142857</v>
      </c>
      <c r="F109">
        <v>0.23809523809523811</v>
      </c>
      <c r="G109">
        <v>0.39285714285714279</v>
      </c>
    </row>
    <row r="110" spans="1:7" x14ac:dyDescent="0.15">
      <c r="A110" t="str">
        <f>HYPERLINK("./new_k5/query_cmdrels_weight_analyze/0.5_0.2_0.3/au_351765.xlsx","au_351765")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0.7</v>
      </c>
    </row>
    <row r="111" spans="1:7" x14ac:dyDescent="0.15">
      <c r="A111" t="str">
        <f>HYPERLINK("./new_k5/query_cmdrels_weight_analyze/0.5_0.2_0.3/au_35922.xlsx","au_35922")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HYPERLINK("./new_k5/query_cmdrels_weight_analyze/0.5_0.2_0.3/au_359856.xlsx","au_359856")</f>
        <v>au_359856</v>
      </c>
      <c r="B112">
        <v>0.25</v>
      </c>
      <c r="C112">
        <v>0.25</v>
      </c>
      <c r="D112">
        <v>0.75</v>
      </c>
      <c r="E112">
        <v>0.5</v>
      </c>
      <c r="F112">
        <v>0.95</v>
      </c>
      <c r="G112">
        <v>0.5</v>
      </c>
    </row>
    <row r="113" spans="1:7" x14ac:dyDescent="0.15">
      <c r="A113" t="str">
        <f>HYPERLINK("./new_k5/query_cmdrels_weight_analyze/0.5_0.2_0.3/au_360423.xlsx","au_360423")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HYPERLINK("./new_k5/query_cmdrels_weight_analyze/0.5_0.2_0.3/au_36287.xlsx","au_36287")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HYPERLINK("./new_k5/query_cmdrels_weight_analyze/0.5_0.2_0.3/au_366742.xlsx","au_366742")</f>
        <v>au_366742</v>
      </c>
      <c r="B115">
        <v>0</v>
      </c>
      <c r="C115">
        <v>0</v>
      </c>
      <c r="D115">
        <v>0</v>
      </c>
      <c r="E115">
        <v>0.125</v>
      </c>
      <c r="F115">
        <v>0</v>
      </c>
      <c r="G115">
        <v>0.25</v>
      </c>
    </row>
    <row r="116" spans="1:7" x14ac:dyDescent="0.15">
      <c r="A116" t="str">
        <f>HYPERLINK("./new_k5/query_cmdrels_weight_analyze/0.5_0.2_0.3/au_377937.xlsx","au_377937")</f>
        <v>au_377937</v>
      </c>
      <c r="B116">
        <v>0.25</v>
      </c>
      <c r="C116">
        <v>0.25</v>
      </c>
      <c r="D116">
        <v>0.5</v>
      </c>
      <c r="E116">
        <v>0.75</v>
      </c>
      <c r="F116">
        <v>0.5</v>
      </c>
      <c r="G116">
        <v>0.75</v>
      </c>
    </row>
    <row r="117" spans="1:7" x14ac:dyDescent="0.15">
      <c r="A117" t="str">
        <f>HYPERLINK("./new_k5/query_cmdrels_weight_analyze/0.5_0.2_0.3/au_383997.xlsx","au_383997")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0.50714285714285712</v>
      </c>
    </row>
    <row r="118" spans="1:7" x14ac:dyDescent="0.15">
      <c r="A118" t="str">
        <f>HYPERLINK("./new_k5/query_cmdrels_weight_analyze/0.5_0.2_0.3/au_3883.xlsx","au_3883")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0.35</v>
      </c>
    </row>
    <row r="119" spans="1:7" x14ac:dyDescent="0.15">
      <c r="A119" t="str">
        <f>HYPERLINK("./new_k5/query_cmdrels_weight_analyze/0.5_0.2_0.3/au_396883.xlsx","au_396883")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HYPERLINK("./new_k5/query_cmdrels_weight_analyze/0.5_0.2_0.3/au_39760.xlsx","au_39760")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HYPERLINK("./new_k5/query_cmdrels_weight_analyze/0.5_0.2_0.3/au_398818.xlsx","au_398818")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HYPERLINK("./new_k5/query_cmdrels_weight_analyze/0.5_0.2_0.3/au_400807.xlsx","au_400807")</f>
        <v>au_400807</v>
      </c>
      <c r="B122">
        <v>0</v>
      </c>
      <c r="C122">
        <v>0.33333333333333331</v>
      </c>
      <c r="D122">
        <v>0.16666666666666671</v>
      </c>
      <c r="E122">
        <v>1</v>
      </c>
      <c r="F122">
        <v>0.16666666666666671</v>
      </c>
      <c r="G122">
        <v>1</v>
      </c>
    </row>
    <row r="123" spans="1:7" x14ac:dyDescent="0.15">
      <c r="A123" t="str">
        <f>HYPERLINK("./new_k5/query_cmdrels_weight_analyze/0.5_0.2_0.3/au_408611.xlsx","au_408611")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HYPERLINK("./new_k5/query_cmdrels_weight_analyze/0.5_0.2_0.3/au_414737.xlsx","au_414737")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HYPERLINK("./new_k5/query_cmdrels_weight_analyze/0.5_0.2_0.3/au_420722.xlsx","au_420722")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0.55555555555555547</v>
      </c>
      <c r="F125">
        <v>0.66666666666666663</v>
      </c>
      <c r="G125">
        <v>0.55555555555555547</v>
      </c>
    </row>
    <row r="126" spans="1:7" x14ac:dyDescent="0.15">
      <c r="A126" t="str">
        <f>HYPERLINK("./new_k5/query_cmdrels_weight_analyze/0.5_0.2_0.3/au_423942.xlsx","au_423942")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HYPERLINK("./new_k5/query_cmdrels_weight_analyze/0.5_0.2_0.3/au_430382.xlsx","au_430382")</f>
        <v>au_430382</v>
      </c>
      <c r="B127">
        <v>0</v>
      </c>
      <c r="C127">
        <v>0.25</v>
      </c>
      <c r="D127">
        <v>0.29166666666666657</v>
      </c>
      <c r="E127">
        <v>0.41666666666666657</v>
      </c>
      <c r="F127">
        <v>0.29166666666666657</v>
      </c>
      <c r="G127">
        <v>0.41666666666666657</v>
      </c>
    </row>
    <row r="128" spans="1:7" x14ac:dyDescent="0.15">
      <c r="A128" t="str">
        <f>HYPERLINK("./new_k5/query_cmdrels_weight_analyze/0.5_0.2_0.3/au_432836.xlsx","au_432836")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HYPERLINK("./new_k5/query_cmdrels_weight_analyze/0.5_0.2_0.3/au_440326.xlsx","au_440326")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HYPERLINK("./new_k5/query_cmdrels_weight_analyze/0.5_0.2_0.3/au_442914.xlsx","au_442914")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HYPERLINK("./new_k5/query_cmdrels_weight_analyze/0.5_0.2_0.3/au_443227.xlsx","au_443227")</f>
        <v>au_443227</v>
      </c>
      <c r="B131">
        <v>0.5</v>
      </c>
      <c r="C131">
        <v>0</v>
      </c>
      <c r="D131">
        <v>0.5</v>
      </c>
      <c r="E131">
        <v>0.25</v>
      </c>
      <c r="F131">
        <v>0.5</v>
      </c>
      <c r="G131">
        <v>0.25</v>
      </c>
    </row>
    <row r="132" spans="1:7" x14ac:dyDescent="0.15">
      <c r="A132" t="str">
        <f>HYPERLINK("./new_k5/query_cmdrels_weight_analyze/0.5_0.2_0.3/au_44534.xlsx","au_44534")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HYPERLINK("./new_k5/query_cmdrels_weight_analyze/0.5_0.2_0.3/au_451805.xlsx","au_451805")</f>
        <v>au_451805</v>
      </c>
      <c r="B133">
        <v>0.33333333333333331</v>
      </c>
      <c r="C133">
        <v>0</v>
      </c>
      <c r="D133">
        <v>0.33333333333333331</v>
      </c>
      <c r="E133">
        <v>0.1111111111111111</v>
      </c>
      <c r="F133">
        <v>0.33333333333333331</v>
      </c>
      <c r="G133">
        <v>0.1111111111111111</v>
      </c>
    </row>
    <row r="134" spans="1:7" x14ac:dyDescent="0.15">
      <c r="A134" t="str">
        <f>HYPERLINK("./new_k5/query_cmdrels_weight_analyze/0.5_0.2_0.3/au_464264.xlsx","au_464264")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0.16666666666666671</v>
      </c>
    </row>
    <row r="135" spans="1:7" x14ac:dyDescent="0.15">
      <c r="A135" t="str">
        <f>HYPERLINK("./new_k5/query_cmdrels_weight_analyze/0.5_0.2_0.3/au_468808.xlsx","au_468808")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HYPERLINK("./new_k5/query_cmdrels_weight_analyze/0.5_0.2_0.3/au_469143.xlsx","au_469143")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HYPERLINK("./new_k5/query_cmdrels_weight_analyze/0.5_0.2_0.3/au_470237.xlsx","au_470237")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HYPERLINK("./new_k5/query_cmdrels_weight_analyze/0.5_0.2_0.3/au_473037.xlsx","au_473037")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0.125</v>
      </c>
    </row>
    <row r="139" spans="1:7" x14ac:dyDescent="0.15">
      <c r="A139" t="str">
        <f>HYPERLINK("./new_k5/query_cmdrels_weight_analyze/0.5_0.2_0.3/au_48362.xlsx","au_48362")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HYPERLINK("./new_k5/query_cmdrels_weight_analyze/0.5_0.2_0.3/au_488435.xlsx","au_488435")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HYPERLINK("./new_k5/query_cmdrels_weight_analyze/0.5_0.2_0.3/au_493826.xlsx","au_493826")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HYPERLINK("./new_k5/query_cmdrels_weight_analyze/0.5_0.2_0.3/au_502110.xlsx","au_502110")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HYPERLINK("./new_k5/query_cmdrels_weight_analyze/0.5_0.2_0.3/au_50344.xlsx","au_50344")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HYPERLINK("./new_k5/query_cmdrels_weight_analyze/0.5_0.2_0.3/au_511467.xlsx","au_511467")</f>
        <v>au_511467</v>
      </c>
      <c r="B144">
        <v>0</v>
      </c>
      <c r="C144">
        <v>0.16666666666666671</v>
      </c>
      <c r="D144">
        <v>0.19444444444444439</v>
      </c>
      <c r="E144">
        <v>0.16666666666666671</v>
      </c>
      <c r="F144">
        <v>0.19444444444444439</v>
      </c>
      <c r="G144">
        <v>0.25</v>
      </c>
    </row>
    <row r="145" spans="1:7" x14ac:dyDescent="0.15">
      <c r="A145" t="str">
        <f>HYPERLINK("./new_k5/query_cmdrels_weight_analyze/0.5_0.2_0.3/au_513046.xlsx","au_513046")</f>
        <v>au_513046</v>
      </c>
      <c r="B145">
        <v>0.25</v>
      </c>
      <c r="C145">
        <v>0</v>
      </c>
      <c r="D145">
        <v>0.5</v>
      </c>
      <c r="E145">
        <v>8.3333333333333329E-2</v>
      </c>
      <c r="F145">
        <v>0.5</v>
      </c>
      <c r="G145">
        <v>0.20833333333333329</v>
      </c>
    </row>
    <row r="146" spans="1:7" x14ac:dyDescent="0.15">
      <c r="A146" t="str">
        <f>HYPERLINK("./new_k5/query_cmdrels_weight_analyze/0.5_0.2_0.3/au_517354.xlsx","au_517354")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0.34523809523809518</v>
      </c>
    </row>
    <row r="147" spans="1:7" x14ac:dyDescent="0.15">
      <c r="A147" t="str">
        <f>HYPERLINK("./new_k5/query_cmdrels_weight_analyze/0.5_0.2_0.3/au_522431.xlsx","au_522431")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0.3833333333333333</v>
      </c>
    </row>
    <row r="148" spans="1:7" x14ac:dyDescent="0.15">
      <c r="A148" t="str">
        <f>HYPERLINK("./new_k5/query_cmdrels_weight_analyze/0.5_0.2_0.3/au_52773.xlsx","au_52773")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0.05</v>
      </c>
    </row>
    <row r="149" spans="1:7" x14ac:dyDescent="0.15">
      <c r="A149" t="str">
        <f>HYPERLINK("./new_k5/query_cmdrels_weight_analyze/0.5_0.2_0.3/au_528411.xlsx","au_528411")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HYPERLINK("./new_k5/query_cmdrels_weight_analyze/0.5_0.2_0.3/au_53263.xlsx","au_53263")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1</v>
      </c>
    </row>
    <row r="151" spans="1:7" x14ac:dyDescent="0.15">
      <c r="A151" t="str">
        <f>HYPERLINK("./new_k5/query_cmdrels_weight_analyze/0.5_0.2_0.3/au_53444.xlsx","au_53444")</f>
        <v>au_53444</v>
      </c>
      <c r="B151">
        <v>0.5</v>
      </c>
      <c r="C151">
        <v>0</v>
      </c>
      <c r="D151">
        <v>0.5</v>
      </c>
      <c r="E151">
        <v>0.16666666666666671</v>
      </c>
      <c r="F151">
        <v>0.5</v>
      </c>
      <c r="G151">
        <v>0.16666666666666671</v>
      </c>
    </row>
    <row r="152" spans="1:7" x14ac:dyDescent="0.15">
      <c r="A152" t="str">
        <f>HYPERLINK("./new_k5/query_cmdrels_weight_analyze/0.5_0.2_0.3/au_538208.xlsx","au_538208")</f>
        <v>au_538208</v>
      </c>
      <c r="B152">
        <v>0.125</v>
      </c>
      <c r="C152">
        <v>0.125</v>
      </c>
      <c r="D152">
        <v>0.375</v>
      </c>
      <c r="E152">
        <v>0.25</v>
      </c>
      <c r="F152">
        <v>0.5</v>
      </c>
      <c r="G152">
        <v>0.44374999999999998</v>
      </c>
    </row>
    <row r="153" spans="1:7" x14ac:dyDescent="0.15">
      <c r="A153" t="str">
        <f>HYPERLINK("./new_k5/query_cmdrels_weight_analyze/0.5_0.2_0.3/au_53822.xlsx","au_53822")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HYPERLINK("./new_k5/query_cmdrels_weight_analyze/0.5_0.2_0.3/au_539243.xlsx","au_539243")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0.33333333333333331</v>
      </c>
    </row>
    <row r="155" spans="1:7" x14ac:dyDescent="0.15">
      <c r="A155" t="str">
        <f>HYPERLINK("./new_k5/query_cmdrels_weight_analyze/0.5_0.2_0.3/au_558280.xlsx","au_558280")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HYPERLINK("./new_k5/query_cmdrels_weight_analyze/0.5_0.2_0.3/au_558669.xlsx","au_558669")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HYPERLINK("./new_k5/query_cmdrels_weight_analyze/0.5_0.2_0.3/au_55868.xlsx","au_55868")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HYPERLINK("./new_k5/query_cmdrels_weight_analyze/0.5_0.2_0.3/au_561.xlsx","au_561")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0.5</v>
      </c>
    </row>
    <row r="159" spans="1:7" x14ac:dyDescent="0.15">
      <c r="A159" t="str">
        <f>HYPERLINK("./new_k5/query_cmdrels_weight_analyze/0.5_0.2_0.3/au_564567.xlsx","au_564567")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HYPERLINK("./new_k5/query_cmdrels_weight_analyze/0.5_0.2_0.3/au_57994.xlsx","au_57994")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0.5714285714285714</v>
      </c>
    </row>
    <row r="161" spans="1:7" x14ac:dyDescent="0.15">
      <c r="A161" t="str">
        <f>HYPERLINK("./new_k5/query_cmdrels_weight_analyze/0.5_0.2_0.3/au_589210.xlsx","au_589210")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0.375</v>
      </c>
    </row>
    <row r="162" spans="1:7" x14ac:dyDescent="0.15">
      <c r="A162" t="str">
        <f>HYPERLINK("./new_k5/query_cmdrels_weight_analyze/0.5_0.2_0.3/au_5911.xlsx","au_5911")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HYPERLINK("./new_k5/query_cmdrels_weight_analyze/0.5_0.2_0.3/au_59356.xlsx","au_59356")</f>
        <v>au_59356</v>
      </c>
      <c r="B163">
        <v>0</v>
      </c>
      <c r="C163">
        <v>0</v>
      </c>
      <c r="D163">
        <v>0.16666666666666671</v>
      </c>
      <c r="E163">
        <v>0.16666666666666671</v>
      </c>
      <c r="F163">
        <v>0.16666666666666671</v>
      </c>
      <c r="G163">
        <v>0.16666666666666671</v>
      </c>
    </row>
    <row r="164" spans="1:7" x14ac:dyDescent="0.15">
      <c r="A164" t="str">
        <f>HYPERLINK("./new_k5/query_cmdrels_weight_analyze/0.5_0.2_0.3/au_609850.xlsx","au_609850")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HYPERLINK("./new_k5/query_cmdrels_weight_analyze/0.5_0.2_0.3/au_61408.xlsx","au_61408")</f>
        <v>au_61408</v>
      </c>
      <c r="B165">
        <v>0</v>
      </c>
      <c r="C165">
        <v>0.33333333333333331</v>
      </c>
      <c r="D165">
        <v>0.16666666666666671</v>
      </c>
      <c r="E165">
        <v>0.55555555555555547</v>
      </c>
      <c r="F165">
        <v>0.16666666666666671</v>
      </c>
      <c r="G165">
        <v>0.55555555555555547</v>
      </c>
    </row>
    <row r="166" spans="1:7" x14ac:dyDescent="0.15">
      <c r="A166" t="str">
        <f>HYPERLINK("./new_k5/query_cmdrels_weight_analyze/0.5_0.2_0.3/au_617850.xlsx","au_617850")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HYPERLINK("./new_k5/query_cmdrels_weight_analyze/0.5_0.2_0.3/au_62073.xlsx","au_62073")</f>
        <v>au_62073</v>
      </c>
      <c r="B167">
        <v>0</v>
      </c>
      <c r="C167">
        <v>0.2</v>
      </c>
      <c r="D167">
        <v>0.23333333333333331</v>
      </c>
      <c r="E167">
        <v>0.4</v>
      </c>
      <c r="F167">
        <v>0.23333333333333331</v>
      </c>
      <c r="G167">
        <v>0.71</v>
      </c>
    </row>
    <row r="168" spans="1:7" x14ac:dyDescent="0.15">
      <c r="A168" t="str">
        <f>HYPERLINK("./new_k5/query_cmdrels_weight_analyze/0.5_0.2_0.3/au_620930.xlsx","au_620930")</f>
        <v>au_620930</v>
      </c>
      <c r="B168">
        <v>0.2</v>
      </c>
      <c r="C168">
        <v>0.2</v>
      </c>
      <c r="D168">
        <v>0.4</v>
      </c>
      <c r="E168">
        <v>0.4</v>
      </c>
      <c r="F168">
        <v>0.4</v>
      </c>
      <c r="G168">
        <v>0.55000000000000004</v>
      </c>
    </row>
    <row r="169" spans="1:7" x14ac:dyDescent="0.15">
      <c r="A169" t="str">
        <f>HYPERLINK("./new_k5/query_cmdrels_weight_analyze/0.5_0.2_0.3/au_62492.xlsx","au_62492")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HYPERLINK("./new_k5/query_cmdrels_weight_analyze/0.5_0.2_0.3/au_626078.xlsx","au_626078")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HYPERLINK("./new_k5/query_cmdrels_weight_analyze/0.5_0.2_0.3/au_636944.xlsx","au_636944")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HYPERLINK("./new_k5/query_cmdrels_weight_analyze/0.5_0.2_0.3/au_648603.xlsx","au_648603")</f>
        <v>au_648603</v>
      </c>
      <c r="B172">
        <v>0.25</v>
      </c>
      <c r="C172">
        <v>0.25</v>
      </c>
      <c r="D172">
        <v>0.25</v>
      </c>
      <c r="E172">
        <v>0.41666666666666657</v>
      </c>
      <c r="F172">
        <v>0.25</v>
      </c>
      <c r="G172">
        <v>0.56666666666666665</v>
      </c>
    </row>
    <row r="173" spans="1:7" x14ac:dyDescent="0.15">
      <c r="A173" t="str">
        <f>HYPERLINK("./new_k5/query_cmdrels_weight_analyze/0.5_0.2_0.3/au_65331.xlsx","au_65331")</f>
        <v>au_65331</v>
      </c>
      <c r="B173">
        <v>0</v>
      </c>
      <c r="C173">
        <v>0.16666666666666671</v>
      </c>
      <c r="D173">
        <v>8.3333333333333329E-2</v>
      </c>
      <c r="E173">
        <v>0.27777777777777768</v>
      </c>
      <c r="F173">
        <v>0.16666666666666671</v>
      </c>
      <c r="G173">
        <v>0.40277777777777768</v>
      </c>
    </row>
    <row r="174" spans="1:7" x14ac:dyDescent="0.15">
      <c r="A174" t="str">
        <f>HYPERLINK("./new_k5/query_cmdrels_weight_analyze/0.5_0.2_0.3/au_66000.xlsx","au_66000")</f>
        <v>au_66000</v>
      </c>
      <c r="B174">
        <v>0</v>
      </c>
      <c r="C174">
        <v>0.2</v>
      </c>
      <c r="D174">
        <v>0</v>
      </c>
      <c r="E174">
        <v>0.33333333333333331</v>
      </c>
      <c r="F174">
        <v>0</v>
      </c>
      <c r="G174">
        <v>0.64333333333333331</v>
      </c>
    </row>
    <row r="175" spans="1:7" x14ac:dyDescent="0.15">
      <c r="A175" t="str">
        <f>HYPERLINK("./new_k5/query_cmdrels_weight_analyze/0.5_0.2_0.3/au_660846.xlsx","au_660846")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HYPERLINK("./new_k5/query_cmdrels_weight_analyze/0.5_0.2_0.3/au_662935.xlsx","au_662935")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0.25</v>
      </c>
    </row>
    <row r="177" spans="1:7" x14ac:dyDescent="0.15">
      <c r="A177" t="str">
        <f>HYPERLINK("./new_k5/query_cmdrels_weight_analyze/0.5_0.2_0.3/au_67663.xlsx","au_67663")</f>
        <v>au_67663</v>
      </c>
      <c r="B177">
        <v>0</v>
      </c>
      <c r="C177">
        <v>0.25</v>
      </c>
      <c r="D177">
        <v>0.29166666666666657</v>
      </c>
      <c r="E177">
        <v>0.75</v>
      </c>
      <c r="F177">
        <v>0.29166666666666657</v>
      </c>
      <c r="G177">
        <v>0.75</v>
      </c>
    </row>
    <row r="178" spans="1:7" x14ac:dyDescent="0.15">
      <c r="A178" t="str">
        <f>HYPERLINK("./new_k5/query_cmdrels_weight_analyze/0.5_0.2_0.3/au_68028.xlsx","au_68028")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0.2857142857142857</v>
      </c>
      <c r="F178">
        <v>0.37142857142857139</v>
      </c>
      <c r="G178">
        <v>0.39285714285714279</v>
      </c>
    </row>
    <row r="179" spans="1:7" x14ac:dyDescent="0.15">
      <c r="A179" t="str">
        <f>HYPERLINK("./new_k5/query_cmdrels_weight_analyze/0.5_0.2_0.3/au_681312.xlsx","au_681312")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0.42857142857142849</v>
      </c>
      <c r="F179">
        <v>0.42857142857142849</v>
      </c>
      <c r="G179">
        <v>0.5714285714285714</v>
      </c>
    </row>
    <row r="180" spans="1:7" x14ac:dyDescent="0.15">
      <c r="A180" t="str">
        <f>HYPERLINK("./new_k5/query_cmdrels_weight_analyze/0.5_0.2_0.3/au_686239.xlsx","au_686239")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HYPERLINK("./new_k5/query_cmdrels_weight_analyze/0.5_0.2_0.3/au_68809.xlsx","au_68809")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0.20833333333333329</v>
      </c>
    </row>
    <row r="182" spans="1:7" x14ac:dyDescent="0.15">
      <c r="A182" t="str">
        <f>HYPERLINK("./new_k5/query_cmdrels_weight_analyze/0.5_0.2_0.3/au_69556.xlsx","au_69556")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HYPERLINK("./new_k5/query_cmdrels_weight_analyze/0.5_0.2_0.3/au_698993.xlsx","au_698993")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HYPERLINK("./new_k5/query_cmdrels_weight_analyze/0.5_0.2_0.3/au_707881.xlsx","au_707881")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HYPERLINK("./new_k5/query_cmdrels_weight_analyze/0.5_0.2_0.3/au_709594.xlsx","au_709594")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HYPERLINK("./new_k5/query_cmdrels_weight_analyze/0.5_0.2_0.3/au_71309.xlsx","au_71309")</f>
        <v>au_71309</v>
      </c>
      <c r="B186">
        <v>0.125</v>
      </c>
      <c r="C186">
        <v>0.125</v>
      </c>
      <c r="D186">
        <v>0.20833333333333329</v>
      </c>
      <c r="E186">
        <v>0.20833333333333329</v>
      </c>
      <c r="F186">
        <v>0.20833333333333329</v>
      </c>
      <c r="G186">
        <v>0.30208333333333331</v>
      </c>
    </row>
    <row r="187" spans="1:7" x14ac:dyDescent="0.15">
      <c r="A187" t="str">
        <f>HYPERLINK("./new_k5/query_cmdrels_weight_analyze/0.5_0.2_0.3/au_7138.xlsx","au_7138")</f>
        <v>au_7138</v>
      </c>
      <c r="B187">
        <v>0.25</v>
      </c>
      <c r="C187">
        <v>0</v>
      </c>
      <c r="D187">
        <v>0.75</v>
      </c>
      <c r="E187">
        <v>8.3333333333333329E-2</v>
      </c>
      <c r="F187">
        <v>0.75</v>
      </c>
      <c r="G187">
        <v>0.20833333333333329</v>
      </c>
    </row>
    <row r="188" spans="1:7" x14ac:dyDescent="0.15">
      <c r="A188" t="str">
        <f>HYPERLINK("./new_k5/query_cmdrels_weight_analyze/0.5_0.2_0.3/au_72549.xlsx","au_72549")</f>
        <v>au_72549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6.25E-2</v>
      </c>
    </row>
    <row r="189" spans="1:7" x14ac:dyDescent="0.15">
      <c r="A189" t="str">
        <f>HYPERLINK("./new_k5/query_cmdrels_weight_analyze/0.5_0.2_0.3/au_740805.xlsx","au_740805")</f>
        <v>au_740805</v>
      </c>
      <c r="B189">
        <v>0.25</v>
      </c>
      <c r="C189">
        <v>0</v>
      </c>
      <c r="D189">
        <v>0.41666666666666657</v>
      </c>
      <c r="E189">
        <v>0.125</v>
      </c>
      <c r="F189">
        <v>0.41666666666666657</v>
      </c>
      <c r="G189">
        <v>0.25</v>
      </c>
    </row>
    <row r="190" spans="1:7" x14ac:dyDescent="0.15">
      <c r="A190" t="str">
        <f>HYPERLINK("./new_k5/query_cmdrels_weight_analyze/0.5_0.2_0.3/au_760796.xlsx","au_760796")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HYPERLINK("./new_k5/query_cmdrels_weight_analyze/0.5_0.2_0.3/au_762846.xlsx","au_762846")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0.43333333333333329</v>
      </c>
    </row>
    <row r="192" spans="1:7" x14ac:dyDescent="0.15">
      <c r="A192" t="str">
        <f>HYPERLINK("./new_k5/query_cmdrels_weight_analyze/0.5_0.2_0.3/au_767786.xlsx","au_767786")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0.76</v>
      </c>
    </row>
    <row r="193" spans="1:7" x14ac:dyDescent="0.15">
      <c r="A193" t="str">
        <f>HYPERLINK("./new_k5/query_cmdrels_weight_analyze/0.5_0.2_0.3/au_778906.xlsx","au_778906")</f>
        <v>au_778906</v>
      </c>
      <c r="B193">
        <v>0.2</v>
      </c>
      <c r="C193">
        <v>0.2</v>
      </c>
      <c r="D193">
        <v>0.33333333333333331</v>
      </c>
      <c r="E193">
        <v>0.33333333333333331</v>
      </c>
      <c r="F193">
        <v>0.33333333333333331</v>
      </c>
      <c r="G193">
        <v>0.48333333333333328</v>
      </c>
    </row>
    <row r="194" spans="1:7" x14ac:dyDescent="0.15">
      <c r="A194" t="str">
        <f>HYPERLINK("./new_k5/query_cmdrels_weight_analyze/0.5_0.2_0.3/au_818929.xlsx","au_818929")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0.42</v>
      </c>
    </row>
    <row r="195" spans="1:7" x14ac:dyDescent="0.15">
      <c r="A195" t="str">
        <f>HYPERLINK("./new_k5/query_cmdrels_weight_analyze/0.5_0.2_0.3/au_844876.xlsx","au_844876")</f>
        <v>au_844876</v>
      </c>
      <c r="B195">
        <v>0.5</v>
      </c>
      <c r="C195">
        <v>0.5</v>
      </c>
      <c r="D195">
        <v>0.5</v>
      </c>
      <c r="E195">
        <v>1</v>
      </c>
      <c r="F195">
        <v>0.5</v>
      </c>
      <c r="G195">
        <v>1</v>
      </c>
    </row>
    <row r="196" spans="1:7" x14ac:dyDescent="0.15">
      <c r="A196" t="str">
        <f>HYPERLINK("./new_k5/query_cmdrels_weight_analyze/0.5_0.2_0.3/au_85318.xlsx","au_85318")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0.52</v>
      </c>
    </row>
    <row r="197" spans="1:7" x14ac:dyDescent="0.15">
      <c r="A197" t="str">
        <f>HYPERLINK("./new_k5/query_cmdrels_weight_analyze/0.5_0.2_0.3/au_854332.xlsx","au_854332")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HYPERLINK("./new_k5/query_cmdrels_weight_analyze/0.5_0.2_0.3/au_854373.xlsx","au_854373")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HYPERLINK("./new_k5/query_cmdrels_weight_analyze/0.5_0.2_0.3/au_86843.xlsx","au_86843")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HYPERLINK("./new_k5/query_cmdrels_weight_analyze/0.5_0.2_0.3/au_88108.xlsx","au_88108")</f>
        <v>au_88108</v>
      </c>
      <c r="B200">
        <v>0</v>
      </c>
      <c r="C200">
        <v>0</v>
      </c>
      <c r="D200">
        <v>0.1</v>
      </c>
      <c r="E200">
        <v>0.1</v>
      </c>
      <c r="F200">
        <v>0.1</v>
      </c>
      <c r="G200">
        <v>0.18</v>
      </c>
    </row>
    <row r="201" spans="1:7" x14ac:dyDescent="0.15">
      <c r="A201" t="str">
        <f>HYPERLINK("./new_k5/query_cmdrels_weight_analyze/0.5_0.2_0.3/au_90214.xlsx","au_90214")</f>
        <v>au_90214</v>
      </c>
      <c r="B201">
        <v>0</v>
      </c>
      <c r="C201">
        <v>0</v>
      </c>
      <c r="D201">
        <v>0.16666666666666671</v>
      </c>
      <c r="E201">
        <v>0.1111111111111111</v>
      </c>
      <c r="F201">
        <v>0.16666666666666671</v>
      </c>
      <c r="G201">
        <v>0.1111111111111111</v>
      </c>
    </row>
    <row r="202" spans="1:7" x14ac:dyDescent="0.15">
      <c r="A202" t="str">
        <f>HYPERLINK("./new_k5/query_cmdrels_weight_analyze/0.5_0.2_0.3/au_90339.xlsx","au_90339")</f>
        <v>au_90339</v>
      </c>
      <c r="B202">
        <v>0</v>
      </c>
      <c r="C202">
        <v>0</v>
      </c>
      <c r="D202">
        <v>4.7619047619047623E-2</v>
      </c>
      <c r="E202">
        <v>0.16666666666666671</v>
      </c>
      <c r="F202">
        <v>0.2047619047619047</v>
      </c>
      <c r="G202">
        <v>0.16666666666666671</v>
      </c>
    </row>
    <row r="203" spans="1:7" x14ac:dyDescent="0.15">
      <c r="A203" t="str">
        <f>HYPERLINK("./new_k5/query_cmdrels_weight_analyze/0.5_0.2_0.3/au_91286.xlsx","au_91286")</f>
        <v>au_91286</v>
      </c>
      <c r="B203">
        <v>0.5</v>
      </c>
      <c r="C203">
        <v>0</v>
      </c>
      <c r="D203">
        <v>0.5</v>
      </c>
      <c r="E203">
        <v>0.25</v>
      </c>
      <c r="F203">
        <v>0.5</v>
      </c>
      <c r="G203">
        <v>0.25</v>
      </c>
    </row>
    <row r="204" spans="1:7" x14ac:dyDescent="0.15">
      <c r="A204" t="str">
        <f>HYPERLINK("./new_k5/query_cmdrels_weight_analyze/0.5_0.2_0.3/au_9135.xlsx","au_9135")</f>
        <v>au_9135</v>
      </c>
      <c r="B204">
        <v>0.1</v>
      </c>
      <c r="C204">
        <v>0</v>
      </c>
      <c r="D204">
        <v>0.16666666666666671</v>
      </c>
      <c r="E204">
        <v>0.1166666666666667</v>
      </c>
      <c r="F204">
        <v>0.24166666666666661</v>
      </c>
      <c r="G204">
        <v>0.19166666666666671</v>
      </c>
    </row>
    <row r="205" spans="1:7" x14ac:dyDescent="0.15">
      <c r="A205" t="str">
        <f>HYPERLINK("./new_k5/query_cmdrels_weight_analyze/0.5_0.2_0.3/au_935569.xlsx","au_935569")</f>
        <v>au_935569</v>
      </c>
      <c r="B205">
        <v>0.14285714285714279</v>
      </c>
      <c r="C205">
        <v>0</v>
      </c>
      <c r="D205">
        <v>0.42857142857142849</v>
      </c>
      <c r="E205">
        <v>0.16666666666666671</v>
      </c>
      <c r="F205">
        <v>0.54285714285714282</v>
      </c>
      <c r="G205">
        <v>0.16666666666666671</v>
      </c>
    </row>
    <row r="206" spans="1:7" x14ac:dyDescent="0.15">
      <c r="A206" t="str">
        <f>HYPERLINK("./new_k5/query_cmdrels_weight_analyze/0.5_0.2_0.3/au_97936.xlsx","au_97936")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HYPERLINK("./new_k5/query_cmdrels_weight_analyze/0.5_0.2_0.3/so_10235778.xlsx","so_10235778")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HYPERLINK("./new_k5/query_cmdrels_weight_analyze/0.5_0.2_0.3/so_1045910.xlsx","so_1045910")</f>
        <v>so_1045910</v>
      </c>
      <c r="B208">
        <v>0.25</v>
      </c>
      <c r="C208">
        <v>0</v>
      </c>
      <c r="D208">
        <v>0.25</v>
      </c>
      <c r="E208">
        <v>0.29166666666666657</v>
      </c>
      <c r="F208">
        <v>0.25</v>
      </c>
      <c r="G208">
        <v>0.29166666666666657</v>
      </c>
    </row>
    <row r="209" spans="1:7" x14ac:dyDescent="0.15">
      <c r="A209" t="str">
        <f>HYPERLINK("./new_k5/query_cmdrels_weight_analyze/0.5_0.2_0.3/so_10557360.xlsx","so_10557360")</f>
        <v>so_10557360</v>
      </c>
      <c r="B209">
        <v>0</v>
      </c>
      <c r="C209">
        <v>0</v>
      </c>
      <c r="D209">
        <v>0</v>
      </c>
      <c r="E209">
        <v>6.6666666666666666E-2</v>
      </c>
      <c r="F209">
        <v>0</v>
      </c>
      <c r="G209">
        <v>6.6666666666666666E-2</v>
      </c>
    </row>
    <row r="210" spans="1:7" x14ac:dyDescent="0.15">
      <c r="A210" t="str">
        <f>HYPERLINK("./new_k5/query_cmdrels_weight_analyze/0.5_0.2_0.3/so_1058047.xlsx","so_1058047")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0.25</v>
      </c>
    </row>
    <row r="211" spans="1:7" x14ac:dyDescent="0.15">
      <c r="A211" t="str">
        <f>HYPERLINK("./new_k5/query_cmdrels_weight_analyze/0.5_0.2_0.3/so_10829402.xlsx","so_10829402")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HYPERLINK("./new_k5/query_cmdrels_weight_analyze/0.5_0.2_0.3/so_1088098.xlsx","so_1088098")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0.25</v>
      </c>
    </row>
    <row r="213" spans="1:7" x14ac:dyDescent="0.15">
      <c r="A213" t="str">
        <f>HYPERLINK("./new_k5/query_cmdrels_weight_analyze/0.5_0.2_0.3/so_10990949.xlsx","so_10990949")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0.7</v>
      </c>
    </row>
    <row r="214" spans="1:7" x14ac:dyDescent="0.15">
      <c r="A214" t="str">
        <f>HYPERLINK("./new_k5/query_cmdrels_weight_analyze/0.5_0.2_0.3/so_11211705.xlsx","so_11211705")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HYPERLINK("./new_k5/query_cmdrels_weight_analyze/0.5_0.2_0.3/so_112932.xlsx","so_112932")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HYPERLINK("./new_k5/query_cmdrels_weight_analyze/0.5_0.2_0.3/so_11392189.xlsx","so_11392189")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8.3333333333333329E-2</v>
      </c>
    </row>
    <row r="217" spans="1:7" x14ac:dyDescent="0.15">
      <c r="A217" t="str">
        <f>HYPERLINK("./new_k5/query_cmdrels_weight_analyze/0.5_0.2_0.3/so_1183183.xlsx","so_1183183")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HYPERLINK("./new_k5/query_cmdrels_weight_analyze/0.5_0.2_0.3/so_1194882.xlsx","so_1194882")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HYPERLINK("./new_k5/query_cmdrels_weight_analyze/0.5_0.2_0.3/so_12120935.xlsx","so_12120935")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HYPERLINK("./new_k5/query_cmdrels_weight_analyze/0.5_0.2_0.3/so_12313384.xlsx","so_12313384")</f>
        <v>so_12313384</v>
      </c>
      <c r="B220">
        <v>0</v>
      </c>
      <c r="C220">
        <v>0</v>
      </c>
      <c r="D220">
        <v>0.16666666666666671</v>
      </c>
      <c r="E220">
        <v>0.38888888888888878</v>
      </c>
      <c r="F220">
        <v>0.16666666666666671</v>
      </c>
      <c r="G220">
        <v>0.38888888888888878</v>
      </c>
    </row>
    <row r="221" spans="1:7" x14ac:dyDescent="0.15">
      <c r="A221" t="str">
        <f>HYPERLINK("./new_k5/query_cmdrels_weight_analyze/0.5_0.2_0.3/so_12392598.xlsx","so_12392598")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0.23809523809523811</v>
      </c>
      <c r="F221">
        <v>0.2857142857142857</v>
      </c>
      <c r="G221">
        <v>0.45952380952380961</v>
      </c>
    </row>
    <row r="222" spans="1:7" x14ac:dyDescent="0.15">
      <c r="A222" t="str">
        <f>HYPERLINK("./new_k5/query_cmdrels_weight_analyze/0.5_0.2_0.3/so_1241801.xlsx","so_1241801")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HYPERLINK("./new_k5/query_cmdrels_weight_analyze/0.5_0.2_0.3/so_12522269.xlsx","so_12522269")</f>
        <v>so_12522269</v>
      </c>
      <c r="B223">
        <v>0.2</v>
      </c>
      <c r="C223">
        <v>0</v>
      </c>
      <c r="D223">
        <v>0.2</v>
      </c>
      <c r="E223">
        <v>0.1</v>
      </c>
      <c r="F223">
        <v>0.28000000000000003</v>
      </c>
      <c r="G223">
        <v>0.1</v>
      </c>
    </row>
    <row r="224" spans="1:7" x14ac:dyDescent="0.15">
      <c r="A224" t="str">
        <f>HYPERLINK("./new_k5/query_cmdrels_weight_analyze/0.5_0.2_0.3/so_1293907.xlsx","so_1293907")</f>
        <v>so_1293907</v>
      </c>
      <c r="B224">
        <v>0</v>
      </c>
      <c r="C224">
        <v>0.33333333333333331</v>
      </c>
      <c r="D224">
        <v>0</v>
      </c>
      <c r="E224">
        <v>0.66666666666666663</v>
      </c>
      <c r="F224">
        <v>8.3333333333333329E-2</v>
      </c>
      <c r="G224">
        <v>0.8666666666666667</v>
      </c>
    </row>
    <row r="225" spans="1:7" x14ac:dyDescent="0.15">
      <c r="A225" t="str">
        <f>HYPERLINK("./new_k5/query_cmdrels_weight_analyze/0.5_0.2_0.3/so_13428910.xlsx","so_13428910")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HYPERLINK("./new_k5/query_cmdrels_weight_analyze/0.5_0.2_0.3/so_135688.xlsx","so_135688")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HYPERLINK("./new_k5/query_cmdrels_weight_analyze/0.5_0.2_0.3/so_13778273.xlsx","so_13778273")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HYPERLINK("./new_k5/query_cmdrels_weight_analyze/0.5_0.2_0.3/so_1405611.xlsx","so_1405611")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</v>
      </c>
      <c r="F228">
        <v>0.33333333333333331</v>
      </c>
      <c r="G228">
        <v>8.3333333333333329E-2</v>
      </c>
    </row>
    <row r="229" spans="1:7" x14ac:dyDescent="0.15">
      <c r="A229" t="str">
        <f>HYPERLINK("./new_k5/query_cmdrels_weight_analyze/0.5_0.2_0.3/so_14300794.xlsx","so_14300794")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HYPERLINK("./new_k5/query_cmdrels_weight_analyze/0.5_0.2_0.3/so_143791.xlsx","so_143791")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HYPERLINK("./new_k5/query_cmdrels_weight_analyze/0.5_0.2_0.3/so_14750650.xlsx","so_14750650")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0.05</v>
      </c>
    </row>
    <row r="232" spans="1:7" x14ac:dyDescent="0.15">
      <c r="A232" t="str">
        <f>HYPERLINK("./new_k5/query_cmdrels_weight_analyze/0.5_0.2_0.3/so_14978411.xlsx","so_14978411")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HYPERLINK("./new_k5/query_cmdrels_weight_analyze/0.5_0.2_0.3/so_15236308.xlsx","so_15236308")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HYPERLINK("./new_k5/query_cmdrels_weight_analyze/0.5_0.2_0.3/so_15286947.xlsx","so_15286947")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HYPERLINK("./new_k5/query_cmdrels_weight_analyze/0.5_0.2_0.3/so_15402770.xlsx","so_15402770")</f>
        <v>so_15402770</v>
      </c>
      <c r="B235">
        <v>0</v>
      </c>
      <c r="C235">
        <v>0</v>
      </c>
      <c r="D235">
        <v>0.19444444444444439</v>
      </c>
      <c r="E235">
        <v>0.19444444444444439</v>
      </c>
      <c r="F235">
        <v>0.19444444444444439</v>
      </c>
      <c r="G235">
        <v>0.31944444444444442</v>
      </c>
    </row>
    <row r="236" spans="1:7" x14ac:dyDescent="0.15">
      <c r="A236" t="str">
        <f>HYPERLINK("./new_k5/query_cmdrels_weight_analyze/0.5_0.2_0.3/so_1570262.xlsx","so_1570262")</f>
        <v>so_1570262</v>
      </c>
      <c r="B236">
        <v>0</v>
      </c>
      <c r="C236">
        <v>0</v>
      </c>
      <c r="D236">
        <v>0</v>
      </c>
      <c r="E236">
        <v>6.6666666666666666E-2</v>
      </c>
      <c r="F236">
        <v>0</v>
      </c>
      <c r="G236">
        <v>0.1466666666666667</v>
      </c>
    </row>
    <row r="237" spans="1:7" x14ac:dyDescent="0.15">
      <c r="A237" t="str">
        <f>HYPERLINK("./new_k5/query_cmdrels_weight_analyze/0.5_0.2_0.3/so_1583219.xlsx","so_1583219")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HYPERLINK("./new_k5/query_cmdrels_weight_analyze/0.5_0.2_0.3/so_15872543.xlsx","so_15872543")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HYPERLINK("./new_k5/query_cmdrels_weight_analyze/0.5_0.2_0.3/so_16038087.xlsx","so_16038087")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0.5714285714285714</v>
      </c>
    </row>
    <row r="240" spans="1:7" x14ac:dyDescent="0.15">
      <c r="A240" t="str">
        <f>HYPERLINK("./new_k5/query_cmdrels_weight_analyze/0.5_0.2_0.3/so_16212656.xlsx","so_16212656")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HYPERLINK("./new_k5/query_cmdrels_weight_analyze/0.5_0.2_0.3/so_16575419.xlsx","so_16575419")</f>
        <v>so_16575419</v>
      </c>
      <c r="B241">
        <v>0.25</v>
      </c>
      <c r="C241">
        <v>0.25</v>
      </c>
      <c r="D241">
        <v>0.25</v>
      </c>
      <c r="E241">
        <v>0.5</v>
      </c>
      <c r="F241">
        <v>0.25</v>
      </c>
      <c r="G241">
        <v>0.6875</v>
      </c>
    </row>
    <row r="242" spans="1:7" x14ac:dyDescent="0.15">
      <c r="A242" t="str">
        <f>HYPERLINK("./new_k5/query_cmdrels_weight_analyze/0.5_0.2_0.3/so_17582768.xlsx","so_17582768")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6.6666666666666666E-2</v>
      </c>
    </row>
    <row r="243" spans="1:7" x14ac:dyDescent="0.15">
      <c r="A243" t="str">
        <f>HYPERLINK("./new_k5/query_cmdrels_weight_analyze/0.5_0.2_0.3/so_17607612.xlsx","so_17607612")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HYPERLINK("./new_k5/query_cmdrels_weight_analyze/0.5_0.2_0.3/so_17829785.xlsx","so_17829785")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HYPERLINK("./new_k5/query_cmdrels_weight_analyze/0.5_0.2_0.3/so_1839841.xlsx","so_1839841")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HYPERLINK("./new_k5/query_cmdrels_weight_analyze/0.5_0.2_0.3/so_18468716.xlsx","so_18468716")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0.46666666666666662</v>
      </c>
    </row>
    <row r="247" spans="1:7" x14ac:dyDescent="0.15">
      <c r="A247" t="str">
        <f>HYPERLINK("./new_k5/query_cmdrels_weight_analyze/0.5_0.2_0.3/so_19196105.xlsx","so_19196105")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HYPERLINK("./new_k5/query_cmdrels_weight_analyze/0.5_0.2_0.3/so_19482123.xlsx","so_19482123")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HYPERLINK("./new_k5/query_cmdrels_weight_analyze/0.5_0.2_0.3/so_1975849.xlsx","so_1975849")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HYPERLINK("./new_k5/query_cmdrels_weight_analyze/0.5_0.2_0.3/so_212528.xlsx","so_212528")</f>
        <v>so_212528</v>
      </c>
      <c r="B250">
        <v>0</v>
      </c>
      <c r="C250">
        <v>0.16666666666666671</v>
      </c>
      <c r="D250">
        <v>0.19444444444444439</v>
      </c>
      <c r="E250">
        <v>0.5</v>
      </c>
      <c r="F250">
        <v>0.19444444444444439</v>
      </c>
      <c r="G250">
        <v>0.5</v>
      </c>
    </row>
    <row r="251" spans="1:7" x14ac:dyDescent="0.15">
      <c r="A251" t="str">
        <f>HYPERLINK("./new_k5/query_cmdrels_weight_analyze/0.5_0.2_0.3/so_21620406.xlsx","so_21620406")</f>
        <v>so_21620406</v>
      </c>
      <c r="B251">
        <v>0</v>
      </c>
      <c r="C251">
        <v>0</v>
      </c>
      <c r="D251">
        <v>0.1111111111111111</v>
      </c>
      <c r="E251">
        <v>0</v>
      </c>
      <c r="F251">
        <v>0.1111111111111111</v>
      </c>
      <c r="G251">
        <v>8.3333333333333329E-2</v>
      </c>
    </row>
    <row r="252" spans="1:7" x14ac:dyDescent="0.15">
      <c r="A252" t="str">
        <f>HYPERLINK("./new_k5/query_cmdrels_weight_analyze/0.5_0.2_0.3/so_23509348.xlsx","so_23509348")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HYPERLINK("./new_k5/query_cmdrels_weight_analyze/0.5_0.2_0.3/so_24058544.xlsx","so_24058544")</f>
        <v>so_24058544</v>
      </c>
      <c r="B253">
        <v>0.2</v>
      </c>
      <c r="C253">
        <v>0.2</v>
      </c>
      <c r="D253">
        <v>0.2</v>
      </c>
      <c r="E253">
        <v>0.2</v>
      </c>
      <c r="F253">
        <v>0.2</v>
      </c>
      <c r="G253">
        <v>0.2</v>
      </c>
    </row>
    <row r="254" spans="1:7" x14ac:dyDescent="0.15">
      <c r="A254" t="str">
        <f>HYPERLINK("./new_k5/query_cmdrels_weight_analyze/0.5_0.2_0.3/so_24283097.xlsx","so_24283097")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HYPERLINK("./new_k5/query_cmdrels_weight_analyze/0.5_0.2_0.3/so_26256279.xlsx","so_26256279")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HYPERLINK("./new_k5/query_cmdrels_weight_analyze/0.5_0.2_0.3/so_26331651.xlsx","so_26331651")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HYPERLINK("./new_k5/query_cmdrels_weight_analyze/0.5_0.2_0.3/so_26988262.xlsx","so_26988262")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HYPERLINK("./new_k5/query_cmdrels_weight_analyze/0.5_0.2_0.3/so_27238411.xlsx","so_27238411")</f>
        <v>so_27238411</v>
      </c>
      <c r="B258">
        <v>0.2</v>
      </c>
      <c r="C258">
        <v>0.2</v>
      </c>
      <c r="D258">
        <v>0.6</v>
      </c>
      <c r="E258">
        <v>0.6</v>
      </c>
      <c r="F258">
        <v>0.6</v>
      </c>
      <c r="G258">
        <v>0.6</v>
      </c>
    </row>
    <row r="259" spans="1:7" x14ac:dyDescent="0.15">
      <c r="A259" t="str">
        <f>HYPERLINK("./new_k5/query_cmdrels_weight_analyze/0.5_0.2_0.3/so_27943059.xlsx","so_27943059")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0.33333333333333331</v>
      </c>
      <c r="F259">
        <v>0.16666666666666671</v>
      </c>
      <c r="G259">
        <v>0.5</v>
      </c>
    </row>
    <row r="260" spans="1:7" x14ac:dyDescent="0.15">
      <c r="A260" t="str">
        <f>HYPERLINK("./new_k5/query_cmdrels_weight_analyze/0.5_0.2_0.3/so_28869004.xlsx","so_28869004")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0.5</v>
      </c>
    </row>
    <row r="261" spans="1:7" x14ac:dyDescent="0.15">
      <c r="A261" t="str">
        <f>HYPERLINK("./new_k5/query_cmdrels_weight_analyze/0.5_0.2_0.3/so_2973624.xlsx","so_2973624")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0.66666666666666663</v>
      </c>
      <c r="F261">
        <v>0.66666666666666663</v>
      </c>
      <c r="G261">
        <v>0.91666666666666663</v>
      </c>
    </row>
    <row r="262" spans="1:7" x14ac:dyDescent="0.15">
      <c r="A262" t="str">
        <f>HYPERLINK("./new_k5/query_cmdrels_weight_analyze/0.5_0.2_0.3/so_30177455.xlsx","so_30177455")</f>
        <v>so_30177455</v>
      </c>
      <c r="B262">
        <v>0</v>
      </c>
      <c r="C262">
        <v>0</v>
      </c>
      <c r="D262">
        <v>0.16666666666666671</v>
      </c>
      <c r="E262">
        <v>0.1111111111111111</v>
      </c>
      <c r="F262">
        <v>0.16666666666666671</v>
      </c>
      <c r="G262">
        <v>0.1111111111111111</v>
      </c>
    </row>
    <row r="263" spans="1:7" x14ac:dyDescent="0.15">
      <c r="A263" t="str">
        <f>HYPERLINK("./new_k5/query_cmdrels_weight_analyze/0.5_0.2_0.3/so_30251889.xlsx","so_30251889")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0.6791666666666667</v>
      </c>
    </row>
    <row r="264" spans="1:7" x14ac:dyDescent="0.15">
      <c r="A264" t="str">
        <f>HYPERLINK("./new_k5/query_cmdrels_weight_analyze/0.5_0.2_0.3/so_305035.xlsx","so_305035")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HYPERLINK("./new_k5/query_cmdrels_weight_analyze/0.5_0.2_0.3/so_36249744.xlsx","so_36249744")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HYPERLINK("./new_k5/query_cmdrels_weight_analyze/0.5_0.2_0.3/so_3643848.xlsx","so_3643848")</f>
        <v>so_3643848</v>
      </c>
      <c r="B266">
        <v>0.5</v>
      </c>
      <c r="C266">
        <v>0.5</v>
      </c>
      <c r="D266">
        <v>1</v>
      </c>
      <c r="E266">
        <v>0.5</v>
      </c>
      <c r="F266">
        <v>1</v>
      </c>
      <c r="G266">
        <v>0.75</v>
      </c>
    </row>
    <row r="267" spans="1:7" x14ac:dyDescent="0.15">
      <c r="A267" t="str">
        <f>HYPERLINK("./new_k5/query_cmdrels_weight_analyze/0.5_0.2_0.3/so_3667329.xlsx","so_3667329")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HYPERLINK("./new_k5/query_cmdrels_weight_analyze/0.5_0.2_0.3/so_369758.xlsx","so_369758")</f>
        <v>so_369758</v>
      </c>
      <c r="B268">
        <v>0.2</v>
      </c>
      <c r="C268">
        <v>0.2</v>
      </c>
      <c r="D268">
        <v>0.4</v>
      </c>
      <c r="E268">
        <v>0.33333333333333331</v>
      </c>
      <c r="F268">
        <v>0.4</v>
      </c>
      <c r="G268">
        <v>0.48333333333333328</v>
      </c>
    </row>
    <row r="269" spans="1:7" x14ac:dyDescent="0.15">
      <c r="A269" t="str">
        <f>HYPERLINK("./new_k5/query_cmdrels_weight_analyze/0.5_0.2_0.3/so_3756323.xlsx","so_3756323")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</v>
      </c>
    </row>
    <row r="270" spans="1:7" x14ac:dyDescent="0.15">
      <c r="A270" t="str">
        <f>HYPERLINK("./new_k5/query_cmdrels_weight_analyze/0.5_0.2_0.3/so_3767267.xlsx","so_3767267")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HYPERLINK("./new_k5/query_cmdrels_weight_analyze/0.5_0.2_0.3/so_3833578.xlsx","so_3833578")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HYPERLINK("./new_k5/query_cmdrels_weight_analyze/0.5_0.2_0.3/so_3891076.xlsx","so_3891076")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0.52500000000000002</v>
      </c>
    </row>
    <row r="273" spans="1:7" x14ac:dyDescent="0.15">
      <c r="A273" t="str">
        <f>HYPERLINK("./new_k5/query_cmdrels_weight_analyze/0.5_0.2_0.3/so_3963085.xlsx","so_3963085")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HYPERLINK("./new_k5/query_cmdrels_weight_analyze/0.5_0.2_0.3/so_4325216.xlsx","so_4325216")</f>
        <v>so_4325216</v>
      </c>
      <c r="B274">
        <v>0.5</v>
      </c>
      <c r="C274">
        <v>0.5</v>
      </c>
      <c r="D274">
        <v>0.5</v>
      </c>
      <c r="E274">
        <v>1</v>
      </c>
      <c r="F274">
        <v>0.5</v>
      </c>
      <c r="G274">
        <v>1</v>
      </c>
    </row>
    <row r="275" spans="1:7" x14ac:dyDescent="0.15">
      <c r="A275" t="str">
        <f>HYPERLINK("./new_k5/query_cmdrels_weight_analyze/0.5_0.2_0.3/so_448005.xlsx","so_448005")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HYPERLINK("./new_k5/query_cmdrels_weight_analyze/0.5_0.2_0.3/so_4921879.xlsx","so_4921879")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HYPERLINK("./new_k5/query_cmdrels_weight_analyze/0.5_0.2_0.3/so_4922943.xlsx","so_4922943")</f>
        <v>so_4922943</v>
      </c>
      <c r="B277">
        <v>0.2</v>
      </c>
      <c r="C277">
        <v>0.2</v>
      </c>
      <c r="D277">
        <v>0.33333333333333331</v>
      </c>
      <c r="E277">
        <v>0.2</v>
      </c>
      <c r="F277">
        <v>0.33333333333333331</v>
      </c>
      <c r="G277">
        <v>0.3</v>
      </c>
    </row>
    <row r="278" spans="1:7" x14ac:dyDescent="0.15">
      <c r="A278" t="str">
        <f>HYPERLINK("./new_k5/query_cmdrels_weight_analyze/0.5_0.2_0.3/so_5119946.xlsx","so_5119946")</f>
        <v>so_5119946</v>
      </c>
      <c r="B278">
        <v>0.5</v>
      </c>
      <c r="C278">
        <v>0</v>
      </c>
      <c r="D278">
        <v>0.5</v>
      </c>
      <c r="E278">
        <v>0.16666666666666671</v>
      </c>
      <c r="F278">
        <v>0.5</v>
      </c>
      <c r="G278">
        <v>0.41666666666666657</v>
      </c>
    </row>
    <row r="279" spans="1:7" x14ac:dyDescent="0.15">
      <c r="A279" t="str">
        <f>HYPERLINK("./new_k5/query_cmdrels_weight_analyze/0.5_0.2_0.3/so_5164985.xlsx","so_5164985")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HYPERLINK("./new_k5/query_cmdrels_weight_analyze/0.5_0.2_0.3/so_5306153.xlsx","so_5306153")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HYPERLINK("./new_k5/query_cmdrels_weight_analyze/0.5_0.2_0.3/so_5566310.xlsx","so_5566310")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HYPERLINK("./new_k5/query_cmdrels_weight_analyze/0.5_0.2_0.3/so_5927369.xlsx","so_5927369")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HYPERLINK("./new_k5/query_cmdrels_weight_analyze/0.5_0.2_0.3/so_5947742.xlsx","so_5947742")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HYPERLINK("./new_k5/query_cmdrels_weight_analyze/0.5_0.2_0.3/so_614795.xlsx","so_614795")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HYPERLINK("./new_k5/query_cmdrels_weight_analyze/0.5_0.2_0.3/so_6207573.xlsx","so_6207573")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0.42857142857142849</v>
      </c>
      <c r="F285">
        <v>0.37142857142857139</v>
      </c>
      <c r="G285">
        <v>0.42857142857142849</v>
      </c>
    </row>
    <row r="286" spans="1:7" x14ac:dyDescent="0.15">
      <c r="A286" t="str">
        <f>HYPERLINK("./new_k5/query_cmdrels_weight_analyze/0.5_0.2_0.3/so_6283167.xlsx","so_6283167")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HYPERLINK("./new_k5/query_cmdrels_weight_analyze/0.5_0.2_0.3/so_6329505.xlsx","so_6329505")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HYPERLINK("./new_k5/query_cmdrels_weight_analyze/0.5_0.2_0.3/so_6423532.xlsx","so_6423532")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HYPERLINK("./new_k5/query_cmdrels_weight_analyze/0.5_0.2_0.3/so_669438.xlsx","so_669438")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0.45333333333333331</v>
      </c>
    </row>
    <row r="290" spans="1:7" x14ac:dyDescent="0.15">
      <c r="A290" t="str">
        <f>HYPERLINK("./new_k5/query_cmdrels_weight_analyze/0.5_0.2_0.3/so_7052875.xlsx","so_7052875")</f>
        <v>so_7052875</v>
      </c>
      <c r="B290">
        <v>0.2</v>
      </c>
      <c r="C290">
        <v>0.2</v>
      </c>
      <c r="D290">
        <v>0.2</v>
      </c>
      <c r="E290">
        <v>0.2</v>
      </c>
      <c r="F290">
        <v>0.2</v>
      </c>
      <c r="G290">
        <v>0.3</v>
      </c>
    </row>
    <row r="291" spans="1:7" x14ac:dyDescent="0.15">
      <c r="A291" t="str">
        <f>HYPERLINK("./new_k5/query_cmdrels_weight_analyze/0.5_0.2_0.3/so_7221757.xlsx","so_7221757")</f>
        <v>so_7221757</v>
      </c>
      <c r="B291">
        <v>0.2</v>
      </c>
      <c r="C291">
        <v>0.2</v>
      </c>
      <c r="D291">
        <v>0.2</v>
      </c>
      <c r="E291">
        <v>0.2</v>
      </c>
      <c r="F291">
        <v>0.2</v>
      </c>
      <c r="G291">
        <v>0.2</v>
      </c>
    </row>
    <row r="292" spans="1:7" x14ac:dyDescent="0.15">
      <c r="A292" t="str">
        <f>HYPERLINK("./new_k5/query_cmdrels_weight_analyze/0.5_0.2_0.3/so_750604.xlsx","so_750604")</f>
        <v>so_750604</v>
      </c>
      <c r="B292">
        <v>0</v>
      </c>
      <c r="C292">
        <v>0</v>
      </c>
      <c r="D292">
        <v>0.1111111111111111</v>
      </c>
      <c r="E292">
        <v>0.16666666666666671</v>
      </c>
      <c r="F292">
        <v>0.1111111111111111</v>
      </c>
      <c r="G292">
        <v>0.33333333333333331</v>
      </c>
    </row>
    <row r="293" spans="1:7" x14ac:dyDescent="0.15">
      <c r="A293" t="str">
        <f>HYPERLINK("./new_k5/query_cmdrels_weight_analyze/0.5_0.2_0.3/so_7575267.xlsx","so_7575267")</f>
        <v>so_7575267</v>
      </c>
      <c r="B293">
        <v>0</v>
      </c>
      <c r="C293">
        <v>0.25</v>
      </c>
      <c r="D293">
        <v>0</v>
      </c>
      <c r="E293">
        <v>0.5</v>
      </c>
      <c r="F293">
        <v>0</v>
      </c>
      <c r="G293">
        <v>0.5</v>
      </c>
    </row>
    <row r="294" spans="1:7" x14ac:dyDescent="0.15">
      <c r="A294" t="str">
        <f>HYPERLINK("./new_k5/query_cmdrels_weight_analyze/0.5_0.2_0.3/so_7698488.xlsx","so_7698488")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0.16250000000000001</v>
      </c>
    </row>
    <row r="295" spans="1:7" x14ac:dyDescent="0.15">
      <c r="A295" t="str">
        <f>HYPERLINK("./new_k5/query_cmdrels_weight_analyze/0.5_0.2_0.3/so_801095.xlsx","so_801095")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0.33333333333333331</v>
      </c>
      <c r="F295">
        <v>0.33333333333333331</v>
      </c>
      <c r="G295">
        <v>0.70000000000000007</v>
      </c>
    </row>
    <row r="296" spans="1:7" x14ac:dyDescent="0.15">
      <c r="A296" t="str">
        <f>HYPERLINK("./new_k5/query_cmdrels_weight_analyze/0.5_0.2_0.3/so_8249705.xlsx","so_8249705")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HYPERLINK("./new_k5/query_cmdrels_weight_analyze/0.5_0.2_0.3/so_8423541.xlsx","so_8423541")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HYPERLINK("./new_k5/query_cmdrels_weight_analyze/0.5_0.2_0.3/so_8654051.xlsx","so_8654051")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HYPERLINK("./new_k5/query_cmdrels_weight_analyze/0.5_0.2_0.3/so_890262.xlsx","so_890262")</f>
        <v>so_890262</v>
      </c>
      <c r="B299">
        <v>0</v>
      </c>
      <c r="C299">
        <v>0</v>
      </c>
      <c r="D299">
        <v>0</v>
      </c>
      <c r="E299">
        <v>0.38888888888888878</v>
      </c>
      <c r="F299">
        <v>0</v>
      </c>
      <c r="G299">
        <v>0.38888888888888878</v>
      </c>
    </row>
    <row r="300" spans="1:7" x14ac:dyDescent="0.15">
      <c r="A300" t="str">
        <f>HYPERLINK("./new_k5/query_cmdrels_weight_analyze/0.5_0.2_0.3/so_893585.xlsx","so_893585")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HYPERLINK("./new_k5/query_cmdrels_weight_analyze/0.5_0.2_0.3/so_9223460.xlsx","so_9223460")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HYPERLINK("./new_k5/query_cmdrels_weight_analyze/0.5_0.2_0.3/so_9245638.xlsx","so_9245638")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HYPERLINK("./new_k5/query_cmdrels_weight_analyze/0.5_0.2_0.3/so_9304953.xlsx","so_9304953")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HYPERLINK("./new_k5/query_cmdrels_weight_analyze/0.5_0.2_0.3/so_9361816.xlsx","so_9361816")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HYPERLINK("./new_k5/query_cmdrels_weight_analyze/0.5_0.2_0.3/su_116617.xlsx","su_116617")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HYPERLINK("./new_k5/query_cmdrels_weight_analyze/0.5_0.2_0.3/su_120045.xlsx","su_120045")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HYPERLINK("./new_k5/query_cmdrels_weight_analyze/0.5_0.2_0.3/su_127863.xlsx","su_127863")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HYPERLINK("./new_k5/query_cmdrels_weight_analyze/0.5_0.2_0.3/su_135498.xlsx","su_135498")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HYPERLINK("./new_k5/query_cmdrels_weight_analyze/0.5_0.2_0.3/su_147027.xlsx","su_147027")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HYPERLINK("./new_k5/query_cmdrels_weight_analyze/0.5_0.2_0.3/su_151911.xlsx","su_151911")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15">
      <c r="A311" t="str">
        <f>HYPERLINK("./new_k5/query_cmdrels_weight_analyze/0.5_0.2_0.3/su_153415.xlsx","su_153415")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HYPERLINK("./new_k5/query_cmdrels_weight_analyze/0.5_0.2_0.3/su_156189.xlsx","su_156189")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0.16666666666666671</v>
      </c>
      <c r="F312">
        <v>0.16666666666666671</v>
      </c>
      <c r="G312">
        <v>0.23333333333333331</v>
      </c>
    </row>
    <row r="313" spans="1:7" x14ac:dyDescent="0.15">
      <c r="A313" t="str">
        <f>HYPERLINK("./new_k5/query_cmdrels_weight_analyze/0.5_0.2_0.3/su_161531.xlsx","su_161531")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HYPERLINK("./new_k5/query_cmdrels_weight_analyze/0.5_0.2_0.3/su_204209.xlsx","su_204209")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HYPERLINK("./new_k5/query_cmdrels_weight_analyze/0.5_0.2_0.3/su_214390.xlsx","su_214390")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HYPERLINK("./new_k5/query_cmdrels_weight_analyze/0.5_0.2_0.3/su_215483.xlsx","su_215483")</f>
        <v>su_215483</v>
      </c>
      <c r="B316">
        <v>0.5</v>
      </c>
      <c r="C316">
        <v>0.5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HYPERLINK("./new_k5/query_cmdrels_weight_analyze/0.5_0.2_0.3/su_215504.xlsx","su_215504")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0.47916666666666657</v>
      </c>
    </row>
    <row r="318" spans="1:7" x14ac:dyDescent="0.15">
      <c r="A318" t="str">
        <f>HYPERLINK("./new_k5/query_cmdrels_weight_analyze/0.5_0.2_0.3/su_227385.xlsx","su_227385")</f>
        <v>su_227385</v>
      </c>
      <c r="B318">
        <v>0</v>
      </c>
      <c r="C318">
        <v>0</v>
      </c>
      <c r="D318">
        <v>0</v>
      </c>
      <c r="E318">
        <v>0.29166666666666657</v>
      </c>
      <c r="F318">
        <v>0</v>
      </c>
      <c r="G318">
        <v>0.6791666666666667</v>
      </c>
    </row>
    <row r="319" spans="1:7" x14ac:dyDescent="0.15">
      <c r="A319" t="str">
        <f>HYPERLINK("./new_k5/query_cmdrels_weight_analyze/0.5_0.2_0.3/su_273254.xlsx","su_273254")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HYPERLINK("./new_k5/query_cmdrels_weight_analyze/0.5_0.2_0.3/su_294161.xlsx","su_294161")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HYPERLINK("./new_k5/query_cmdrels_weight_analyze/0.5_0.2_0.3/su_302396.xlsx","su_302396")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HYPERLINK("./new_k5/query_cmdrels_weight_analyze/0.5_0.2_0.3/su_303981.xlsx","su_303981")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HYPERLINK("./new_k5/query_cmdrels_weight_analyze/0.5_0.2_0.3/su_305128.xlsx","su_305128")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HYPERLINK("./new_k5/query_cmdrels_weight_analyze/0.5_0.2_0.3/su_31512.xlsx","su_31512")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HYPERLINK("./new_k5/query_cmdrels_weight_analyze/0.5_0.2_0.3/su_380520.xlsx","su_380520")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0.33333333333333331</v>
      </c>
    </row>
    <row r="326" spans="1:7" x14ac:dyDescent="0.15">
      <c r="A326" t="str">
        <f>HYPERLINK("./new_k5/query_cmdrels_weight_analyze/0.5_0.2_0.3/su_38981.xlsx","su_38981")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HYPERLINK("./new_k5/query_cmdrels_weight_analyze/0.5_0.2_0.3/su_437330.xlsx","su_437330")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HYPERLINK("./new_k5/query_cmdrels_weight_analyze/0.5_0.2_0.3/su_441379.xlsx","su_441379")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HYPERLINK("./new_k5/query_cmdrels_weight_analyze/0.5_0.2_0.3/su_462788.xlsx","su_462788")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0.22222222222222221</v>
      </c>
      <c r="F329">
        <v>0.30555555555555558</v>
      </c>
      <c r="G329">
        <v>0.39444444444444438</v>
      </c>
    </row>
    <row r="330" spans="1:7" x14ac:dyDescent="0.15">
      <c r="A330" t="str">
        <f>HYPERLINK("./new_k5/query_cmdrels_weight_analyze/0.5_0.2_0.3/su_626606.xlsx","su_626606")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0.83333333333333337</v>
      </c>
    </row>
    <row r="331" spans="1:7" x14ac:dyDescent="0.15">
      <c r="A331" t="str">
        <f>HYPERLINK("./new_k5/query_cmdrels_weight_analyze/0.5_0.2_0.3/su_634469.xlsx","su_634469")</f>
        <v>su_634469</v>
      </c>
      <c r="B331">
        <v>0</v>
      </c>
      <c r="C331">
        <v>0.16666666666666671</v>
      </c>
      <c r="D331">
        <v>0</v>
      </c>
      <c r="E331">
        <v>0.33333333333333331</v>
      </c>
      <c r="F331">
        <v>0</v>
      </c>
      <c r="G331">
        <v>0.45833333333333331</v>
      </c>
    </row>
    <row r="332" spans="1:7" x14ac:dyDescent="0.15">
      <c r="A332" t="str">
        <f>HYPERLINK("./new_k5/query_cmdrels_weight_analyze/0.5_0.2_0.3/su_638616.xlsx","su_638616")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HYPERLINK("./new_k5/query_cmdrels_weight_analyze/0.5_0.2_0.3/su_678113.xlsx","su_678113")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HYPERLINK("./new_k5/query_cmdrels_weight_analyze/0.5_0.2_0.3/su_686394.xlsx","su_686394")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HYPERLINK("./new_k5/query_cmdrels_weight_analyze/0.5_0.2_0.3/su_716795.xlsx","su_716795")</f>
        <v>su_716795</v>
      </c>
      <c r="B335">
        <v>0.5</v>
      </c>
      <c r="C335">
        <v>0</v>
      </c>
      <c r="D335">
        <v>0.83333333333333326</v>
      </c>
      <c r="E335">
        <v>0.16666666666666671</v>
      </c>
      <c r="F335">
        <v>0.83333333333333326</v>
      </c>
      <c r="G335">
        <v>0.16666666666666671</v>
      </c>
    </row>
    <row r="336" spans="1:7" x14ac:dyDescent="0.15">
      <c r="A336" t="str">
        <f>HYPERLINK("./new_k5/query_cmdrels_weight_analyze/0.5_0.2_0.3/su_758463.xlsx","su_758463")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HYPERLINK("./new_k5/query_cmdrels_weight_analyze/0.5_0.2_0.3/su_766437.xlsx","su_766437")</f>
        <v>su_766437</v>
      </c>
      <c r="B337">
        <v>0</v>
      </c>
      <c r="C337">
        <v>0</v>
      </c>
      <c r="D337">
        <v>0</v>
      </c>
      <c r="E337">
        <v>0.1</v>
      </c>
      <c r="F337">
        <v>0.05</v>
      </c>
      <c r="G337">
        <v>0.32</v>
      </c>
    </row>
    <row r="338" spans="1:7" x14ac:dyDescent="0.15">
      <c r="A338" t="str">
        <f>HYPERLINK("./new_k5/query_cmdrels_weight_analyze/0.5_0.2_0.3/su_904001.xlsx","su_904001")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HYPERLINK("./new_k5/query_cmdrels_weight_analyze/0.5_0.2_0.3/ul_100959.xlsx","ul_100959")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HYPERLINK("./new_k5/query_cmdrels_weight_analyze/0.5_0.2_0.3/ul_101073.xlsx","ul_101073")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HYPERLINK("./new_k5/query_cmdrels_weight_analyze/0.5_0.2_0.3/ul_101237.xlsx","ul_101237")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HYPERLINK("./new_k5/query_cmdrels_weight_analyze/0.5_0.2_0.3/ul_102752.xlsx","ul_102752")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HYPERLINK("./new_k5/query_cmdrels_weight_analyze/0.5_0.2_0.3/ul_108174.xlsx","ul_108174")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HYPERLINK("./new_k5/query_cmdrels_weight_analyze/0.5_0.2_0.3/ul_109536.xlsx","ul_109536")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HYPERLINK("./new_k5/query_cmdrels_weight_analyze/0.5_0.2_0.3/ul_112050.xlsx","ul_112050")</f>
        <v>ul_112050</v>
      </c>
      <c r="B345">
        <v>0</v>
      </c>
      <c r="C345">
        <v>0.25</v>
      </c>
      <c r="D345">
        <v>0.125</v>
      </c>
      <c r="E345">
        <v>0.75</v>
      </c>
      <c r="F345">
        <v>0.125</v>
      </c>
      <c r="G345">
        <v>0.75</v>
      </c>
    </row>
    <row r="346" spans="1:7" x14ac:dyDescent="0.15">
      <c r="A346" t="str">
        <f>HYPERLINK("./new_k5/query_cmdrels_weight_analyze/0.5_0.2_0.3/ul_116070.xlsx","ul_116070")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HYPERLINK("./new_k5/query_cmdrels_weight_analyze/0.5_0.2_0.3/ul_11851.xlsx","ul_11851")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HYPERLINK("./new_k5/query_cmdrels_weight_analyze/0.5_0.2_0.3/ul_119126.xlsx","ul_119126")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HYPERLINK("./new_k5/query_cmdrels_weight_analyze/0.5_0.2_0.3/ul_121718.xlsx","ul_121718")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HYPERLINK("./new_k5/query_cmdrels_weight_analyze/0.5_0.2_0.3/ul_12227.xlsx","ul_12227")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HYPERLINK("./new_k5/query_cmdrels_weight_analyze/0.5_0.2_0.3/ul_12453.xlsx","ul_12453")</f>
        <v>ul_12453</v>
      </c>
      <c r="B351">
        <v>0</v>
      </c>
      <c r="C351">
        <v>0</v>
      </c>
      <c r="D351">
        <v>0.125</v>
      </c>
      <c r="E351">
        <v>0.29166666666666657</v>
      </c>
      <c r="F351">
        <v>0.125</v>
      </c>
      <c r="G351">
        <v>0.47916666666666657</v>
      </c>
    </row>
    <row r="352" spans="1:7" x14ac:dyDescent="0.15">
      <c r="A352" t="str">
        <f>HYPERLINK("./new_k5/query_cmdrels_weight_analyze/0.5_0.2_0.3/ul_12535.xlsx","ul_12535")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0.16666666666666671</v>
      </c>
    </row>
    <row r="353" spans="1:7" x14ac:dyDescent="0.15">
      <c r="A353" t="str">
        <f>HYPERLINK("./new_k5/query_cmdrels_weight_analyze/0.5_0.2_0.3/ul_127066.xlsx","ul_127066")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0.41666666666666657</v>
      </c>
    </row>
    <row r="354" spans="1:7" x14ac:dyDescent="0.15">
      <c r="A354" t="str">
        <f>HYPERLINK("./new_k5/query_cmdrels_weight_analyze/0.5_0.2_0.3/ul_128953.xlsx","ul_128953")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HYPERLINK("./new_k5/query_cmdrels_weight_analyze/0.5_0.2_0.3/ul_134829.xlsx","ul_134829")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0.66666666666666663</v>
      </c>
    </row>
    <row r="356" spans="1:7" x14ac:dyDescent="0.15">
      <c r="A356" t="str">
        <f>HYPERLINK("./new_k5/query_cmdrels_weight_analyze/0.5_0.2_0.3/ul_136371.xlsx","ul_136371")</f>
        <v>ul_136371</v>
      </c>
      <c r="B356">
        <v>0</v>
      </c>
      <c r="C356">
        <v>0.33333333333333331</v>
      </c>
      <c r="D356">
        <v>0</v>
      </c>
      <c r="E356">
        <v>0.33333333333333331</v>
      </c>
      <c r="F356">
        <v>0</v>
      </c>
      <c r="G356">
        <v>0.5</v>
      </c>
    </row>
    <row r="357" spans="1:7" x14ac:dyDescent="0.15">
      <c r="A357" t="str">
        <f>HYPERLINK("./new_k5/query_cmdrels_weight_analyze/0.5_0.2_0.3/ul_136884.xlsx","ul_136884")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HYPERLINK("./new_k5/query_cmdrels_weight_analyze/0.5_0.2_0.3/ul_138398.xlsx","ul_138398")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HYPERLINK("./new_k5/query_cmdrels_weight_analyze/0.5_0.2_0.3/ul_139271.xlsx","ul_139271")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0.33333333333333331</v>
      </c>
      <c r="F359">
        <v>0.33333333333333331</v>
      </c>
      <c r="G359">
        <v>0.45833333333333331</v>
      </c>
    </row>
    <row r="360" spans="1:7" x14ac:dyDescent="0.15">
      <c r="A360" t="str">
        <f>HYPERLINK("./new_k5/query_cmdrels_weight_analyze/0.5_0.2_0.3/ul_140482.xlsx","ul_140482")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HYPERLINK("./new_k5/query_cmdrels_weight_analyze/0.5_0.2_0.3/ul_14191.xlsx","ul_14191")</f>
        <v>ul_14191</v>
      </c>
      <c r="B361">
        <v>0.33333333333333331</v>
      </c>
      <c r="C361">
        <v>0</v>
      </c>
      <c r="D361">
        <v>0.55555555555555547</v>
      </c>
      <c r="E361">
        <v>0</v>
      </c>
      <c r="F361">
        <v>0.55555555555555547</v>
      </c>
      <c r="G361">
        <v>8.3333333333333329E-2</v>
      </c>
    </row>
    <row r="362" spans="1:7" x14ac:dyDescent="0.15">
      <c r="A362" t="str">
        <f>HYPERLINK("./new_k5/query_cmdrels_weight_analyze/0.5_0.2_0.3/ul_145929.xlsx","ul_145929")</f>
        <v>ul_145929</v>
      </c>
      <c r="B362">
        <v>0</v>
      </c>
      <c r="C362">
        <v>0</v>
      </c>
      <c r="D362">
        <v>0.16666666666666671</v>
      </c>
      <c r="E362">
        <v>0.16666666666666671</v>
      </c>
      <c r="F362">
        <v>0.16666666666666671</v>
      </c>
      <c r="G362">
        <v>0.41666666666666657</v>
      </c>
    </row>
    <row r="363" spans="1:7" x14ac:dyDescent="0.15">
      <c r="A363" t="str">
        <f>HYPERLINK("./new_k5/query_cmdrels_weight_analyze/0.5_0.2_0.3/ul_148985.xlsx","ul_148985")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HYPERLINK("./new_k5/query_cmdrels_weight_analyze/0.5_0.2_0.3/ul_15405.xlsx","ul_15405")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HYPERLINK("./new_k5/query_cmdrels_weight_analyze/0.5_0.2_0.3/ul_155551.xlsx","ul_155551")</f>
        <v>ul_155551</v>
      </c>
      <c r="B365">
        <v>0</v>
      </c>
      <c r="C365">
        <v>0</v>
      </c>
      <c r="D365">
        <v>0</v>
      </c>
      <c r="E365">
        <v>0.58333333333333326</v>
      </c>
      <c r="F365">
        <v>0</v>
      </c>
      <c r="G365">
        <v>0.58333333333333326</v>
      </c>
    </row>
    <row r="366" spans="1:7" x14ac:dyDescent="0.15">
      <c r="A366" t="str">
        <f>HYPERLINK("./new_k5/query_cmdrels_weight_analyze/0.5_0.2_0.3/ul_159672.xlsx","ul_159672")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HYPERLINK("./new_k5/query_cmdrels_weight_analyze/0.5_0.2_0.3/ul_163845.xlsx","ul_163845")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HYPERLINK("./new_k5/query_cmdrels_weight_analyze/0.5_0.2_0.3/ul_16407.xlsx","ul_16407")</f>
        <v>ul_16407</v>
      </c>
      <c r="B368">
        <v>0.5</v>
      </c>
      <c r="C368">
        <v>0</v>
      </c>
      <c r="D368">
        <v>0.5</v>
      </c>
      <c r="E368">
        <v>0.25</v>
      </c>
      <c r="F368">
        <v>0.75</v>
      </c>
      <c r="G368">
        <v>0.25</v>
      </c>
    </row>
    <row r="369" spans="1:7" x14ac:dyDescent="0.15">
      <c r="A369" t="str">
        <f>HYPERLINK("./new_k5/query_cmdrels_weight_analyze/0.5_0.2_0.3/ul_166558.xlsx","ul_166558")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HYPERLINK("./new_k5/query_cmdrels_weight_analyze/0.5_0.2_0.3/ul_171314.xlsx","ul_171314")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0.35</v>
      </c>
    </row>
    <row r="371" spans="1:7" x14ac:dyDescent="0.15">
      <c r="A371" t="str">
        <f>HYPERLINK("./new_k5/query_cmdrels_weight_analyze/0.5_0.2_0.3/ul_182032.xlsx","ul_182032")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HYPERLINK("./new_k5/query_cmdrels_weight_analyze/0.5_0.2_0.3/ul_19344.xlsx","ul_19344")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HYPERLINK("./new_k5/query_cmdrels_weight_analyze/0.5_0.2_0.3/ul_19369.xlsx","ul_19369")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HYPERLINK("./new_k5/query_cmdrels_weight_analyze/0.5_0.2_0.3/ul_19485.xlsx","ul_19485")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HYPERLINK("./new_k5/query_cmdrels_weight_analyze/0.5_0.2_0.3/ul_20370.xlsx","ul_20370")</f>
        <v>ul_20370</v>
      </c>
      <c r="B375">
        <v>0</v>
      </c>
      <c r="C375">
        <v>0</v>
      </c>
      <c r="D375">
        <v>0</v>
      </c>
      <c r="E375">
        <v>0.16666666666666671</v>
      </c>
      <c r="F375">
        <v>0</v>
      </c>
      <c r="G375">
        <v>0.16666666666666671</v>
      </c>
    </row>
    <row r="376" spans="1:7" x14ac:dyDescent="0.15">
      <c r="A376" t="str">
        <f>HYPERLINK("./new_k5/query_cmdrels_weight_analyze/0.5_0.2_0.3/ul_211817.xlsx","ul_211817")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HYPERLINK("./new_k5/query_cmdrels_weight_analyze/0.5_0.2_0.3/ul_212925.xlsx","ul_212925")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HYPERLINK("./new_k5/query_cmdrels_weight_analyze/0.5_0.2_0.3/ul_21471.xlsx","ul_21471")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HYPERLINK("./new_k5/query_cmdrels_weight_analyze/0.5_0.2_0.3/ul_22545.xlsx","ul_22545")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HYPERLINK("./new_k5/query_cmdrels_weight_analyze/0.5_0.2_0.3/ul_230481.xlsx","ul_230481")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HYPERLINK("./new_k5/query_cmdrels_weight_analyze/0.5_0.2_0.3/ul_230673.xlsx","ul_230673")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0.5</v>
      </c>
    </row>
    <row r="382" spans="1:7" x14ac:dyDescent="0.15">
      <c r="A382" t="str">
        <f>HYPERLINK("./new_k5/query_cmdrels_weight_analyze/0.5_0.2_0.3/ul_230800.xlsx","ul_230800")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HYPERLINK("./new_k5/query_cmdrels_weight_analyze/0.5_0.2_0.3/ul_232384.xlsx","ul_232384")</f>
        <v>ul_232384</v>
      </c>
      <c r="B383">
        <v>0</v>
      </c>
      <c r="C383">
        <v>0.5</v>
      </c>
      <c r="D383">
        <v>0</v>
      </c>
      <c r="E383">
        <v>0.83333333333333326</v>
      </c>
      <c r="F383">
        <v>0</v>
      </c>
      <c r="G383">
        <v>0.83333333333333326</v>
      </c>
    </row>
    <row r="384" spans="1:7" x14ac:dyDescent="0.15">
      <c r="A384" t="str">
        <f>HYPERLINK("./new_k5/query_cmdrels_weight_analyze/0.5_0.2_0.3/ul_24441.xlsx","ul_24441")</f>
        <v>ul_24441</v>
      </c>
      <c r="B384">
        <v>0</v>
      </c>
      <c r="C384">
        <v>0</v>
      </c>
      <c r="D384">
        <v>0</v>
      </c>
      <c r="E384">
        <v>0.25</v>
      </c>
      <c r="F384">
        <v>0</v>
      </c>
      <c r="G384">
        <v>0.25</v>
      </c>
    </row>
    <row r="385" spans="1:7" x14ac:dyDescent="0.15">
      <c r="A385" t="str">
        <f>HYPERLINK("./new_k5/query_cmdrels_weight_analyze/0.5_0.2_0.3/ul_246535.xlsx","ul_246535")</f>
        <v>ul_246535</v>
      </c>
      <c r="B385">
        <v>0.2</v>
      </c>
      <c r="C385">
        <v>0.2</v>
      </c>
      <c r="D385">
        <v>0.2</v>
      </c>
      <c r="E385">
        <v>0.2</v>
      </c>
      <c r="F385">
        <v>0.2</v>
      </c>
      <c r="G385">
        <v>0.42</v>
      </c>
    </row>
    <row r="386" spans="1:7" x14ac:dyDescent="0.15">
      <c r="A386" t="str">
        <f>HYPERLINK("./new_k5/query_cmdrels_weight_analyze/0.5_0.2_0.3/ul_259791.xlsx","ul_259791")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HYPERLINK("./new_k5/query_cmdrels_weight_analyze/0.5_0.2_0.3/ul_273971.xlsx","ul_273971")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0.16666666666666671</v>
      </c>
      <c r="F387">
        <v>0.43333333333333329</v>
      </c>
      <c r="G387">
        <v>0.23333333333333331</v>
      </c>
    </row>
    <row r="388" spans="1:7" x14ac:dyDescent="0.15">
      <c r="A388" t="str">
        <f>HYPERLINK("./new_k5/query_cmdrels_weight_analyze/0.5_0.2_0.3/ul_28553.xlsx","ul_28553")</f>
        <v>ul_28553</v>
      </c>
      <c r="B388">
        <v>0.25</v>
      </c>
      <c r="C388">
        <v>0</v>
      </c>
      <c r="D388">
        <v>0.5</v>
      </c>
      <c r="E388">
        <v>0.125</v>
      </c>
      <c r="F388">
        <v>0.5</v>
      </c>
      <c r="G388">
        <v>0.125</v>
      </c>
    </row>
    <row r="389" spans="1:7" x14ac:dyDescent="0.15">
      <c r="A389" t="str">
        <f>HYPERLINK("./new_k5/query_cmdrels_weight_analyze/0.5_0.2_0.3/ul_288521.xlsx","ul_288521")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HYPERLINK("./new_k5/query_cmdrels_weight_analyze/0.5_0.2_0.3/ul_32290.xlsx","ul_32290")</f>
        <v>ul_32290</v>
      </c>
      <c r="B390">
        <v>0</v>
      </c>
      <c r="C390">
        <v>0</v>
      </c>
      <c r="D390">
        <v>0</v>
      </c>
      <c r="E390">
        <v>8.3333333333333329E-2</v>
      </c>
      <c r="F390">
        <v>0</v>
      </c>
      <c r="G390">
        <v>8.3333333333333329E-2</v>
      </c>
    </row>
    <row r="391" spans="1:7" x14ac:dyDescent="0.15">
      <c r="A391" t="str">
        <f>HYPERLINK("./new_k5/query_cmdrels_weight_analyze/0.5_0.2_0.3/ul_328882.xlsx","ul_328882")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HYPERLINK("./new_k5/query_cmdrels_weight_analyze/0.5_0.2_0.3/ul_35131.xlsx","ul_35131")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0.8666666666666667</v>
      </c>
    </row>
    <row r="393" spans="1:7" x14ac:dyDescent="0.15">
      <c r="A393" t="str">
        <f>HYPERLINK("./new_k5/query_cmdrels_weight_analyze/0.5_0.2_0.3/ul_35333.xlsx","ul_35333")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HYPERLINK("./new_k5/query_cmdrels_weight_analyze/0.5_0.2_0.3/ul_35711.xlsx","ul_35711")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HYPERLINK("./new_k5/query_cmdrels_weight_analyze/0.5_0.2_0.3/ul_3575.xlsx","ul_3575")</f>
        <v>ul_3575</v>
      </c>
      <c r="B395">
        <v>0</v>
      </c>
      <c r="C395">
        <v>0.16666666666666671</v>
      </c>
      <c r="D395">
        <v>8.3333333333333329E-2</v>
      </c>
      <c r="E395">
        <v>0.16666666666666671</v>
      </c>
      <c r="F395">
        <v>8.3333333333333329E-2</v>
      </c>
      <c r="G395">
        <v>0.16666666666666671</v>
      </c>
    </row>
    <row r="396" spans="1:7" x14ac:dyDescent="0.15">
      <c r="A396" t="str">
        <f>HYPERLINK("./new_k5/query_cmdrels_weight_analyze/0.5_0.2_0.3/ul_35832.xlsx","ul_35832")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HYPERLINK("./new_k5/query_cmdrels_weight_analyze/0.5_0.2_0.3/ul_370318.xlsx","ul_370318")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0.23809523809523811</v>
      </c>
      <c r="F397">
        <v>0.14285714285714279</v>
      </c>
      <c r="G397">
        <v>0.34523809523809518</v>
      </c>
    </row>
    <row r="398" spans="1:7" x14ac:dyDescent="0.15">
      <c r="A398" t="str">
        <f>HYPERLINK("./new_k5/query_cmdrels_weight_analyze/0.5_0.2_0.3/ul_37329.xlsx","ul_37329")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0.66666666666666663</v>
      </c>
      <c r="F398">
        <v>0.33333333333333331</v>
      </c>
      <c r="G398">
        <v>0.66666666666666663</v>
      </c>
    </row>
    <row r="399" spans="1:7" x14ac:dyDescent="0.15">
      <c r="A399" t="str">
        <f>HYPERLINK("./new_k5/query_cmdrels_weight_analyze/0.5_0.2_0.3/ul_38209.xlsx","ul_38209")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HYPERLINK("./new_k5/query_cmdrels_weight_analyze/0.5_0.2_0.3/ul_41246.xlsx","ul_41246")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HYPERLINK("./new_k5/query_cmdrels_weight_analyze/0.5_0.2_0.3/ul_41362.xlsx","ul_41362")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6.25E-2</v>
      </c>
    </row>
    <row r="402" spans="1:7" x14ac:dyDescent="0.15">
      <c r="A402" t="str">
        <f>HYPERLINK("./new_k5/query_cmdrels_weight_analyze/0.5_0.2_0.3/ul_48200.xlsx","ul_48200")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HYPERLINK("./new_k5/query_cmdrels_weight_analyze/0.5_0.2_0.3/ul_50098.xlsx","ul_50098")</f>
        <v>ul_50098</v>
      </c>
      <c r="B403">
        <v>0</v>
      </c>
      <c r="C403">
        <v>0.1</v>
      </c>
      <c r="D403">
        <v>0.1166666666666667</v>
      </c>
      <c r="E403">
        <v>0.16666666666666671</v>
      </c>
      <c r="F403">
        <v>0.1166666666666667</v>
      </c>
      <c r="G403">
        <v>0.24166666666666661</v>
      </c>
    </row>
    <row r="404" spans="1:7" x14ac:dyDescent="0.15">
      <c r="A404" t="str">
        <f>HYPERLINK("./new_k5/query_cmdrels_weight_analyze/0.5_0.2_0.3/ul_50785.xlsx","ul_50785")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HYPERLINK("./new_k5/query_cmdrels_weight_analyze/0.5_0.2_0.3/ul_5085.xlsx","ul_5085")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HYPERLINK("./new_k5/query_cmdrels_weight_analyze/0.5_0.2_0.3/ul_53737.xlsx","ul_53737")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HYPERLINK("./new_k5/query_cmdrels_weight_analyze/0.5_0.2_0.3/ul_55125.xlsx","ul_55125")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HYPERLINK("./new_k5/query_cmdrels_weight_analyze/0.5_0.2_0.3/ul_56453.xlsx","ul_56453")</f>
        <v>ul_56453</v>
      </c>
      <c r="B408">
        <v>0</v>
      </c>
      <c r="C408">
        <v>0.25</v>
      </c>
      <c r="D408">
        <v>8.3333333333333329E-2</v>
      </c>
      <c r="E408">
        <v>0.25</v>
      </c>
      <c r="F408">
        <v>8.3333333333333329E-2</v>
      </c>
      <c r="G408">
        <v>0.375</v>
      </c>
    </row>
    <row r="409" spans="1:7" x14ac:dyDescent="0.15">
      <c r="A409" t="str">
        <f>HYPERLINK("./new_k5/query_cmdrels_weight_analyze/0.5_0.2_0.3/ul_63648.xlsx","ul_63648")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HYPERLINK("./new_k5/query_cmdrels_weight_analyze/0.5_0.2_0.3/ul_6402.xlsx","ul_6402")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0.33333333333333331</v>
      </c>
    </row>
    <row r="411" spans="1:7" x14ac:dyDescent="0.15">
      <c r="A411" t="str">
        <f>HYPERLINK("./new_k5/query_cmdrels_weight_analyze/0.5_0.2_0.3/ul_65106.xlsx","ul_65106")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0.91666666666666663</v>
      </c>
    </row>
    <row r="412" spans="1:7" x14ac:dyDescent="0.15">
      <c r="A412" t="str">
        <f>HYPERLINK("./new_k5/query_cmdrels_weight_analyze/0.5_0.2_0.3/ul_65932.xlsx","ul_65932")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HYPERLINK("./new_k5/query_cmdrels_weight_analyze/0.5_0.2_0.3/ul_6596.xlsx","ul_6596")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HYPERLINK("./new_k5/query_cmdrels_weight_analyze/0.5_0.2_0.3/ul_67503.xlsx","ul_67503")</f>
        <v>ul_67503</v>
      </c>
      <c r="B414">
        <v>0</v>
      </c>
      <c r="C414">
        <v>0.5</v>
      </c>
      <c r="D414">
        <v>0.25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HYPERLINK("./new_k5/query_cmdrels_weight_analyze/0.5_0.2_0.3/ul_67592.xlsx","ul_67592")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HYPERLINK("./new_k5/query_cmdrels_weight_analyze/0.5_0.2_0.3/ul_70581.xlsx","ul_70581")</f>
        <v>ul_70581</v>
      </c>
      <c r="B416">
        <v>0</v>
      </c>
      <c r="C416">
        <v>0.2</v>
      </c>
      <c r="D416">
        <v>0.1</v>
      </c>
      <c r="E416">
        <v>0.33333333333333331</v>
      </c>
      <c r="F416">
        <v>0.1</v>
      </c>
      <c r="G416">
        <v>0.48333333333333328</v>
      </c>
    </row>
    <row r="417" spans="1:7" x14ac:dyDescent="0.15">
      <c r="A417" t="str">
        <f>HYPERLINK("./new_k5/query_cmdrels_weight_analyze/0.5_0.2_0.3/ul_70614.xlsx","ul_70614")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HYPERLINK("./new_k5/query_cmdrels_weight_analyze/0.5_0.2_0.3/ul_71465.xlsx","ul_71465")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HYPERLINK("./new_k5/query_cmdrels_weight_analyze/0.5_0.2_0.3/ul_7226.xlsx","ul_7226")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0.33333333333333331</v>
      </c>
      <c r="F419">
        <v>0.33333333333333331</v>
      </c>
      <c r="G419">
        <v>0.5</v>
      </c>
    </row>
    <row r="420" spans="1:7" x14ac:dyDescent="0.15">
      <c r="A420" t="str">
        <f>HYPERLINK("./new_k5/query_cmdrels_weight_analyze/0.5_0.2_0.3/ul_78182.xlsx","ul_78182")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</v>
      </c>
    </row>
    <row r="421" spans="1:7" x14ac:dyDescent="0.15">
      <c r="A421" t="str">
        <f>HYPERLINK("./new_k5/query_cmdrels_weight_analyze/0.5_0.2_0.3/ul_79678.xlsx","ul_79678")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HYPERLINK("./new_k5/query_cmdrels_weight_analyze/0.5_0.2_0.3/ul_79702.xlsx","ul_79702")</f>
        <v>ul_79702</v>
      </c>
      <c r="B422">
        <v>0</v>
      </c>
      <c r="C422">
        <v>0.33333333333333331</v>
      </c>
      <c r="D422">
        <v>0</v>
      </c>
      <c r="E422">
        <v>0.66666666666666663</v>
      </c>
      <c r="F422">
        <v>0</v>
      </c>
      <c r="G422">
        <v>0.8666666666666667</v>
      </c>
    </row>
    <row r="423" spans="1:7" x14ac:dyDescent="0.15">
      <c r="A423" t="str">
        <f>HYPERLINK("./new_k5/query_cmdrels_weight_analyze/0.5_0.2_0.3/ul_83593.xlsx","ul_83593")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HYPERLINK("./new_k5/query_cmdrels_weight_analyze/0.5_0.2_0.3/ul_84381.xlsx","ul_84381")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HYPERLINK("./new_k5/query_cmdrels_weight_analyze/0.5_0.2_0.3/ul_85180.xlsx","ul_85180")</f>
        <v>ul_85180</v>
      </c>
      <c r="B425">
        <v>0</v>
      </c>
      <c r="C425">
        <v>0</v>
      </c>
      <c r="D425">
        <v>0.16666666666666671</v>
      </c>
      <c r="E425">
        <v>0.16666666666666671</v>
      </c>
      <c r="F425">
        <v>0.16666666666666671</v>
      </c>
      <c r="G425">
        <v>0.33333333333333331</v>
      </c>
    </row>
    <row r="426" spans="1:7" x14ac:dyDescent="0.15">
      <c r="A426" t="str">
        <f>HYPERLINK("./new_k5/query_cmdrels_weight_analyze/0.5_0.2_0.3/ul_86071.xlsx","ul_86071")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HYPERLINK("./new_k5/query_cmdrels_weight_analyze/0.5_0.2_0.3/ul_86729.xlsx","ul_86729")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HYPERLINK("./new_k5/query_cmdrels_weight_analyze/0.5_0.2_0.3/ul_88824.xlsx","ul_88824")</f>
        <v>ul_88824</v>
      </c>
      <c r="B428">
        <v>0</v>
      </c>
      <c r="C428">
        <v>0.33333333333333331</v>
      </c>
      <c r="D428">
        <v>0</v>
      </c>
      <c r="E428">
        <v>0.55555555555555547</v>
      </c>
      <c r="F428">
        <v>0</v>
      </c>
      <c r="G428">
        <v>0.55555555555555547</v>
      </c>
    </row>
    <row r="429" spans="1:7" x14ac:dyDescent="0.15">
      <c r="A429" t="str">
        <f>HYPERLINK("./new_k5/query_cmdrels_weight_analyze/0.5_0.2_0.3/ul_8945.xlsx","ul_8945")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HYPERLINK("./new_k5/query_cmdrels_weight_analyze/0.5_0.2_0.3/ul_89933.xlsx","ul_89933")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HYPERLINK("./new_k5/query_cmdrels_weight_analyze/0.5_0.2_0.3/ul_91297.xlsx","ul_91297")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HYPERLINK("./new_k5/query_cmdrels_weight_analyze/0.5_0.2_0.3/ul_9252.xlsx","ul_9252")</f>
        <v>ul_9252</v>
      </c>
      <c r="B432">
        <v>0</v>
      </c>
      <c r="C432">
        <v>0</v>
      </c>
      <c r="D432">
        <v>0.23333333333333331</v>
      </c>
      <c r="E432">
        <v>6.6666666666666666E-2</v>
      </c>
      <c r="F432">
        <v>0.23333333333333331</v>
      </c>
      <c r="G432">
        <v>0.1466666666666667</v>
      </c>
    </row>
    <row r="433" spans="1:7" x14ac:dyDescent="0.15">
      <c r="A433" t="str">
        <f>HYPERLINK("./new_k5/query_cmdrels_weight_analyze/0.5_0.2_0.3/ul_92560.xlsx","ul_92560")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0.7</v>
      </c>
    </row>
    <row r="434" spans="1:7" x14ac:dyDescent="0.15">
      <c r="A434" t="str">
        <f>HYPERLINK("./new_k5/query_cmdrels_weight_analyze/0.5_0.2_0.3/ul_92799.xlsx","ul_92799")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0.27777777777777768</v>
      </c>
      <c r="F434">
        <v>0.53611111111111109</v>
      </c>
      <c r="G434">
        <v>0.53611111111111109</v>
      </c>
    </row>
    <row r="435" spans="1:7" x14ac:dyDescent="0.15">
      <c r="A435" t="str">
        <f>HYPERLINK("./new_k5/query_cmdrels_weight_analyze/0.5_0.2_0.3/ul_93139.xlsx","ul_93139")</f>
        <v>ul_93139</v>
      </c>
      <c r="B435">
        <v>0</v>
      </c>
      <c r="C435">
        <v>0.5</v>
      </c>
      <c r="D435">
        <v>0.25</v>
      </c>
      <c r="E435">
        <v>0.5</v>
      </c>
      <c r="F435">
        <v>0.25</v>
      </c>
      <c r="G435">
        <v>0.5</v>
      </c>
    </row>
    <row r="436" spans="1:7" x14ac:dyDescent="0.15">
      <c r="A436" t="str">
        <f>HYPERLINK("./new_k5/query_cmdrels_weight_analyze/0.5_0.2_0.3/ul_98461.xlsx","ul_98461")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HYPERLINK("./new_k5/query_cmdrels_weight_analyze/0.1_0.2_0.7/au_102733.xlsx","au_102733")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HYPERLINK("./new_k5/query_cmdrels_weight_analyze/0.1_0.2_0.7/au_1029436.xlsx","au_1029436")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HYPERLINK("./new_k5/query_cmdrels_weight_analyze/0.1_0.2_0.7/au_1029502.xlsx","au_1029502")</f>
        <v>au_1029502</v>
      </c>
      <c r="B5">
        <v>0.25</v>
      </c>
      <c r="C5">
        <v>0.25</v>
      </c>
      <c r="D5">
        <v>0.25</v>
      </c>
      <c r="E5">
        <v>0.25</v>
      </c>
      <c r="F5">
        <v>0.375</v>
      </c>
      <c r="G5">
        <v>0.25</v>
      </c>
    </row>
    <row r="6" spans="1:7" x14ac:dyDescent="0.15">
      <c r="A6" t="str">
        <f>HYPERLINK("./new_k5/query_cmdrels_weight_analyze/0.1_0.2_0.7/au_1029531.xlsx","au_1029531")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HYPERLINK("./new_k5/query_cmdrels_weight_analyze/0.1_0.2_0.7/au_104542.xlsx","au_104542")</f>
        <v>au_104542</v>
      </c>
      <c r="B7">
        <v>0.125</v>
      </c>
      <c r="C7">
        <v>0.125</v>
      </c>
      <c r="D7">
        <v>0.25</v>
      </c>
      <c r="E7">
        <v>0.25</v>
      </c>
      <c r="F7">
        <v>0.25</v>
      </c>
      <c r="G7">
        <v>0.25</v>
      </c>
    </row>
    <row r="8" spans="1:7" x14ac:dyDescent="0.15">
      <c r="A8" t="str">
        <f>HYPERLINK("./new_k5/query_cmdrels_weight_analyze/0.1_0.2_0.7/au_109070.xlsx","au_109070")</f>
        <v>au_109070</v>
      </c>
      <c r="B8">
        <v>0</v>
      </c>
      <c r="C8">
        <v>0</v>
      </c>
      <c r="D8">
        <v>0.23333333333333331</v>
      </c>
      <c r="E8">
        <v>0.23333333333333331</v>
      </c>
      <c r="F8">
        <v>0.3833333333333333</v>
      </c>
      <c r="G8">
        <v>0.23333333333333331</v>
      </c>
    </row>
    <row r="9" spans="1:7" x14ac:dyDescent="0.15">
      <c r="A9" t="str">
        <f>HYPERLINK("./new_k5/query_cmdrels_weight_analyze/0.1_0.2_0.7/au_109381.xlsx","au_109381")</f>
        <v>au_109381</v>
      </c>
      <c r="B9">
        <v>0</v>
      </c>
      <c r="C9">
        <v>0.5</v>
      </c>
      <c r="D9">
        <v>0.25</v>
      </c>
      <c r="E9">
        <v>0.5</v>
      </c>
      <c r="F9">
        <v>0.25</v>
      </c>
      <c r="G9">
        <v>0.5</v>
      </c>
    </row>
    <row r="10" spans="1:7" x14ac:dyDescent="0.15">
      <c r="A10" t="str">
        <f>HYPERLINK("./new_k5/query_cmdrels_weight_analyze/0.1_0.2_0.7/au_110477.xlsx","au_110477")</f>
        <v>au_110477</v>
      </c>
      <c r="B10">
        <v>0.25</v>
      </c>
      <c r="C10">
        <v>0.25</v>
      </c>
      <c r="D10">
        <v>0.5</v>
      </c>
      <c r="E10">
        <v>0.5</v>
      </c>
      <c r="F10">
        <v>0.5</v>
      </c>
      <c r="G10">
        <v>0.5</v>
      </c>
    </row>
    <row r="11" spans="1:7" x14ac:dyDescent="0.15">
      <c r="A11" t="str">
        <f>HYPERLINK("./new_k5/query_cmdrels_weight_analyze/0.1_0.2_0.7/au_111678.xlsx","au_111678")</f>
        <v>au_111678</v>
      </c>
      <c r="B11">
        <v>0</v>
      </c>
      <c r="C11">
        <v>0</v>
      </c>
      <c r="D11">
        <v>0.1111111111111111</v>
      </c>
      <c r="E11">
        <v>0.16666666666666671</v>
      </c>
      <c r="F11">
        <v>0.1111111111111111</v>
      </c>
      <c r="G11">
        <v>0.16666666666666671</v>
      </c>
    </row>
    <row r="12" spans="1:7" x14ac:dyDescent="0.15">
      <c r="A12" t="str">
        <f>HYPERLINK("./new_k5/query_cmdrels_weight_analyze/0.1_0.2_0.7/au_112512.xlsx","au_112512")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HYPERLINK("./new_k5/query_cmdrels_weight_analyze/0.1_0.2_0.7/au_115369.xlsx","au_115369")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HYPERLINK("./new_k5/query_cmdrels_weight_analyze/0.1_0.2_0.7/au_11789.xlsx","au_11789")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HYPERLINK("./new_k5/query_cmdrels_weight_analyze/0.1_0.2_0.7/au_117950.xlsx","au_117950")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</v>
      </c>
    </row>
    <row r="16" spans="1:7" x14ac:dyDescent="0.15">
      <c r="A16" t="str">
        <f>HYPERLINK("./new_k5/query_cmdrels_weight_analyze/0.1_0.2_0.7/au_122113.xlsx","au_122113")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HYPERLINK("./new_k5/query_cmdrels_weight_analyze/0.1_0.2_0.7/au_123798.xlsx","au_123798")</f>
        <v>au_123798</v>
      </c>
      <c r="B17">
        <v>0</v>
      </c>
      <c r="C17">
        <v>0</v>
      </c>
      <c r="D17">
        <v>5.5555555555555552E-2</v>
      </c>
      <c r="E17">
        <v>8.3333333333333329E-2</v>
      </c>
      <c r="F17">
        <v>0.23888888888888879</v>
      </c>
      <c r="G17">
        <v>0.26666666666666672</v>
      </c>
    </row>
    <row r="18" spans="1:7" x14ac:dyDescent="0.15">
      <c r="A18" t="str">
        <f>HYPERLINK("./new_k5/query_cmdrels_weight_analyze/0.1_0.2_0.7/au_125257.xlsx","au_125257")</f>
        <v>au_125257</v>
      </c>
      <c r="B18">
        <v>0.25</v>
      </c>
      <c r="C18">
        <v>0.25</v>
      </c>
      <c r="D18">
        <v>0.41666666666666657</v>
      </c>
      <c r="E18">
        <v>0.25</v>
      </c>
      <c r="F18">
        <v>0.56666666666666665</v>
      </c>
      <c r="G18">
        <v>0.375</v>
      </c>
    </row>
    <row r="19" spans="1:7" x14ac:dyDescent="0.15">
      <c r="A19" t="str">
        <f>HYPERLINK("./new_k5/query_cmdrels_weight_analyze/0.1_0.2_0.7/au_126153.xlsx","au_126153")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0.5</v>
      </c>
      <c r="F19">
        <v>0.45833333333333331</v>
      </c>
      <c r="G19">
        <v>0.66666666666666663</v>
      </c>
    </row>
    <row r="20" spans="1:7" x14ac:dyDescent="0.15">
      <c r="A20" t="str">
        <f>HYPERLINK("./new_k5/query_cmdrels_weight_analyze/0.1_0.2_0.7/au_127326.xlsx","au_127326")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HYPERLINK("./new_k5/query_cmdrels_weight_analyze/0.1_0.2_0.7/au_128463.xlsx","au_128463")</f>
        <v>au_128463</v>
      </c>
      <c r="B21">
        <v>0.33333333333333331</v>
      </c>
      <c r="C21">
        <v>0.33333333333333331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HYPERLINK("./new_k5/query_cmdrels_weight_analyze/0.1_0.2_0.7/au_130393.xlsx","au_130393")</f>
        <v>au_130393</v>
      </c>
      <c r="B22">
        <v>0</v>
      </c>
      <c r="C22">
        <v>0.25</v>
      </c>
      <c r="D22">
        <v>0.125</v>
      </c>
      <c r="E22">
        <v>0.25</v>
      </c>
      <c r="F22">
        <v>0.125</v>
      </c>
      <c r="G22">
        <v>0.35</v>
      </c>
    </row>
    <row r="23" spans="1:7" x14ac:dyDescent="0.15">
      <c r="A23" t="str">
        <f>HYPERLINK("./new_k5/query_cmdrels_weight_analyze/0.1_0.2_0.7/au_131570.xlsx","au_131570")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HYPERLINK("./new_k5/query_cmdrels_weight_analyze/0.1_0.2_0.7/au_133318.xlsx","au_133318")</f>
        <v>au_133318</v>
      </c>
      <c r="B24">
        <v>0</v>
      </c>
      <c r="C24">
        <v>0.25</v>
      </c>
      <c r="D24">
        <v>0</v>
      </c>
      <c r="E24">
        <v>0.25</v>
      </c>
      <c r="F24">
        <v>0</v>
      </c>
      <c r="G24">
        <v>0.35</v>
      </c>
    </row>
    <row r="25" spans="1:7" x14ac:dyDescent="0.15">
      <c r="A25" t="str">
        <f>HYPERLINK("./new_k5/query_cmdrels_weight_analyze/0.1_0.2_0.7/au_133343.xlsx","au_133343")</f>
        <v>au_133343</v>
      </c>
      <c r="B25">
        <v>0</v>
      </c>
      <c r="C25">
        <v>0</v>
      </c>
      <c r="D25">
        <v>0</v>
      </c>
      <c r="E25">
        <v>0.1111111111111111</v>
      </c>
      <c r="F25">
        <v>0</v>
      </c>
      <c r="G25">
        <v>0.27777777777777768</v>
      </c>
    </row>
    <row r="26" spans="1:7" x14ac:dyDescent="0.15">
      <c r="A26" t="str">
        <f>HYPERLINK("./new_k5/query_cmdrels_weight_analyze/0.1_0.2_0.7/au_133389.xlsx","au_133389")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HYPERLINK("./new_k5/query_cmdrels_weight_analyze/0.1_0.2_0.7/au_141277.xlsx","au_141277")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HYPERLINK("./new_k5/query_cmdrels_weight_analyze/0.1_0.2_0.7/au_143819.xlsx","au_143819")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HYPERLINK("./new_k5/query_cmdrels_weight_analyze/0.1_0.2_0.7/au_145935.xlsx","au_145935")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0.66666666666666663</v>
      </c>
      <c r="F29">
        <v>0.55555555555555547</v>
      </c>
      <c r="G29">
        <v>0.66666666666666663</v>
      </c>
    </row>
    <row r="30" spans="1:7" x14ac:dyDescent="0.15">
      <c r="A30" t="str">
        <f>HYPERLINK("./new_k5/query_cmdrels_weight_analyze/0.1_0.2_0.7/au_147241.xlsx","au_147241")</f>
        <v>au_147241</v>
      </c>
      <c r="B30">
        <v>0</v>
      </c>
      <c r="C30">
        <v>0</v>
      </c>
      <c r="D30">
        <v>0.29166666666666657</v>
      </c>
      <c r="E30">
        <v>8.3333333333333329E-2</v>
      </c>
      <c r="F30">
        <v>0.29166666666666657</v>
      </c>
      <c r="G30">
        <v>0.18333333333333329</v>
      </c>
    </row>
    <row r="31" spans="1:7" x14ac:dyDescent="0.15">
      <c r="A31" t="str">
        <f>HYPERLINK("./new_k5/query_cmdrels_weight_analyze/0.1_0.2_0.7/au_147800.xlsx","au_147800")</f>
        <v>au_147800</v>
      </c>
      <c r="B31">
        <v>0</v>
      </c>
      <c r="C31">
        <v>0</v>
      </c>
      <c r="D31">
        <v>0.1111111111111111</v>
      </c>
      <c r="E31">
        <v>0.1111111111111111</v>
      </c>
      <c r="F31">
        <v>0.1111111111111111</v>
      </c>
      <c r="G31">
        <v>0.1111111111111111</v>
      </c>
    </row>
    <row r="32" spans="1:7" x14ac:dyDescent="0.15">
      <c r="A32" t="str">
        <f>HYPERLINK("./new_k5/query_cmdrels_weight_analyze/0.1_0.2_0.7/au_148321.xlsx","au_148321")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0.27777777777777768</v>
      </c>
    </row>
    <row r="33" spans="1:7" x14ac:dyDescent="0.15">
      <c r="A33" t="str">
        <f>HYPERLINK("./new_k5/query_cmdrels_weight_analyze/0.1_0.2_0.7/au_148638.xlsx","au_148638")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HYPERLINK("./new_k5/query_cmdrels_weight_analyze/0.1_0.2_0.7/au_151049.xlsx","au_151049")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HYPERLINK("./new_k5/query_cmdrels_weight_analyze/0.1_0.2_0.7/au_151941.xlsx","au_151941")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HYPERLINK("./new_k5/query_cmdrels_weight_analyze/0.1_0.2_0.7/au_152297.xlsx","au_152297")</f>
        <v>au_152297</v>
      </c>
      <c r="B36">
        <v>0</v>
      </c>
      <c r="C36">
        <v>0.14285714285714279</v>
      </c>
      <c r="D36">
        <v>7.1428571428571425E-2</v>
      </c>
      <c r="E36">
        <v>0.42857142857142849</v>
      </c>
      <c r="F36">
        <v>7.1428571428571425E-2</v>
      </c>
      <c r="G36">
        <v>0.42857142857142849</v>
      </c>
    </row>
    <row r="37" spans="1:7" x14ac:dyDescent="0.15">
      <c r="A37" t="str">
        <f>HYPERLINK("./new_k5/query_cmdrels_weight_analyze/0.1_0.2_0.7/au_153976.xlsx","au_153976")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0.16666666666666671</v>
      </c>
      <c r="F37">
        <v>0.33333333333333331</v>
      </c>
      <c r="G37">
        <v>0.25</v>
      </c>
    </row>
    <row r="38" spans="1:7" x14ac:dyDescent="0.15">
      <c r="A38" t="str">
        <f>HYPERLINK("./new_k5/query_cmdrels_weight_analyze/0.1_0.2_0.7/au_154431.xlsx","au_154431")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HYPERLINK("./new_k5/query_cmdrels_weight_analyze/0.1_0.2_0.7/au_159708.xlsx","au_159708")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0.55555555555555547</v>
      </c>
      <c r="F39">
        <v>0.33333333333333331</v>
      </c>
      <c r="G39">
        <v>0.55555555555555547</v>
      </c>
    </row>
    <row r="40" spans="1:7" x14ac:dyDescent="0.15">
      <c r="A40" t="str">
        <f>HYPERLINK("./new_k5/query_cmdrels_weight_analyze/0.1_0.2_0.7/au_160869.xlsx","au_160869")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HYPERLINK("./new_k5/query_cmdrels_weight_analyze/0.1_0.2_0.7/au_161313.xlsx","au_161313")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</v>
      </c>
    </row>
    <row r="42" spans="1:7" x14ac:dyDescent="0.15">
      <c r="A42" t="str">
        <f>HYPERLINK("./new_k5/query_cmdrels_weight_analyze/0.1_0.2_0.7/au_162075.xlsx","au_162075")</f>
        <v>au_162075</v>
      </c>
      <c r="B42">
        <v>0.25</v>
      </c>
      <c r="C42">
        <v>0</v>
      </c>
      <c r="D42">
        <v>0.5</v>
      </c>
      <c r="E42">
        <v>8.3333333333333329E-2</v>
      </c>
      <c r="F42">
        <v>0.5</v>
      </c>
      <c r="G42">
        <v>0.20833333333333329</v>
      </c>
    </row>
    <row r="43" spans="1:7" x14ac:dyDescent="0.15">
      <c r="A43" t="str">
        <f>HYPERLINK("./new_k5/query_cmdrels_weight_analyze/0.1_0.2_0.7/au_16277.xlsx","au_16277")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0.83333333333333337</v>
      </c>
    </row>
    <row r="44" spans="1:7" x14ac:dyDescent="0.15">
      <c r="A44" t="str">
        <f>HYPERLINK("./new_k5/query_cmdrels_weight_analyze/0.1_0.2_0.7/au_163155.xlsx","au_163155")</f>
        <v>au_163155</v>
      </c>
      <c r="B44">
        <v>0.125</v>
      </c>
      <c r="C44">
        <v>0.125</v>
      </c>
      <c r="D44">
        <v>0.375</v>
      </c>
      <c r="E44">
        <v>0.20833333333333329</v>
      </c>
      <c r="F44">
        <v>0.5</v>
      </c>
      <c r="G44">
        <v>0.30208333333333331</v>
      </c>
    </row>
    <row r="45" spans="1:7" x14ac:dyDescent="0.15">
      <c r="A45" t="str">
        <f>HYPERLINK("./new_k5/query_cmdrels_weight_analyze/0.1_0.2_0.7/au_164473.xlsx","au_164473")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HYPERLINK("./new_k5/query_cmdrels_weight_analyze/0.1_0.2_0.7/au_16584.xlsx","au_16584")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9.0909090909090912E-2</v>
      </c>
      <c r="F46">
        <v>0.13636363636363641</v>
      </c>
      <c r="G46">
        <v>9.0909090909090912E-2</v>
      </c>
    </row>
    <row r="47" spans="1:7" x14ac:dyDescent="0.15">
      <c r="A47" t="str">
        <f>HYPERLINK("./new_k5/query_cmdrels_weight_analyze/0.1_0.2_0.7/au_166420.xlsx","au_166420")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HYPERLINK("./new_k5/query_cmdrels_weight_analyze/0.1_0.2_0.7/au_169473.xlsx","au_169473")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0.33333333333333331</v>
      </c>
      <c r="F48">
        <v>0.43333333333333329</v>
      </c>
      <c r="G48">
        <v>0.33333333333333331</v>
      </c>
    </row>
    <row r="49" spans="1:7" x14ac:dyDescent="0.15">
      <c r="A49" t="str">
        <f>HYPERLINK("./new_k5/query_cmdrels_weight_analyze/0.1_0.2_0.7/au_169516.xlsx","au_169516")</f>
        <v>au_169516</v>
      </c>
      <c r="B49">
        <v>0.25</v>
      </c>
      <c r="C49">
        <v>0.25</v>
      </c>
      <c r="D49">
        <v>0.25</v>
      </c>
      <c r="E49">
        <v>0.5</v>
      </c>
      <c r="F49">
        <v>0.25</v>
      </c>
      <c r="G49">
        <v>0.5</v>
      </c>
    </row>
    <row r="50" spans="1:7" x14ac:dyDescent="0.15">
      <c r="A50" t="str">
        <f>HYPERLINK("./new_k5/query_cmdrels_weight_analyze/0.1_0.2_0.7/au_174292.xlsx","au_174292")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0.25</v>
      </c>
    </row>
    <row r="51" spans="1:7" x14ac:dyDescent="0.15">
      <c r="A51" t="str">
        <f>HYPERLINK("./new_k5/query_cmdrels_weight_analyze/0.1_0.2_0.7/au_178481.xlsx","au_178481")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HYPERLINK("./new_k5/query_cmdrels_weight_analyze/0.1_0.2_0.7/au_180925.xlsx","au_180925")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HYPERLINK("./new_k5/query_cmdrels_weight_analyze/0.1_0.2_0.7/au_187888.xlsx","au_187888")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HYPERLINK("./new_k5/query_cmdrels_weight_analyze/0.1_0.2_0.7/au_191390.xlsx","au_191390")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HYPERLINK("./new_k5/query_cmdrels_weight_analyze/0.1_0.2_0.7/au_192798.xlsx","au_192798")</f>
        <v>au_192798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15">
      <c r="A56" t="str">
        <f>HYPERLINK("./new_k5/query_cmdrels_weight_analyze/0.1_0.2_0.7/au_201775.xlsx","au_201775")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0.55555555555555547</v>
      </c>
      <c r="F56">
        <v>0.66666666666666663</v>
      </c>
      <c r="G56">
        <v>0.75555555555555554</v>
      </c>
    </row>
    <row r="57" spans="1:7" x14ac:dyDescent="0.15">
      <c r="A57" t="str">
        <f>HYPERLINK("./new_k5/query_cmdrels_weight_analyze/0.1_0.2_0.7/au_204166.xlsx","au_204166")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HYPERLINK("./new_k5/query_cmdrels_weight_analyze/0.1_0.2_0.7/au_207447.xlsx","au_207447")</f>
        <v>au_207447</v>
      </c>
      <c r="B58">
        <v>0.33333333333333331</v>
      </c>
      <c r="C58">
        <v>0.33333333333333331</v>
      </c>
      <c r="D58">
        <v>0.33333333333333331</v>
      </c>
      <c r="E58">
        <v>0.33333333333333331</v>
      </c>
      <c r="F58">
        <v>0.33333333333333331</v>
      </c>
      <c r="G58">
        <v>0.33333333333333331</v>
      </c>
    </row>
    <row r="59" spans="1:7" x14ac:dyDescent="0.15">
      <c r="A59" t="str">
        <f>HYPERLINK("./new_k5/query_cmdrels_weight_analyze/0.1_0.2_0.7/au_210680.xlsx","au_210680")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HYPERLINK("./new_k5/query_cmdrels_weight_analyze/0.1_0.2_0.7/au_214246.xlsx","au_214246")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0.52</v>
      </c>
    </row>
    <row r="61" spans="1:7" x14ac:dyDescent="0.15">
      <c r="A61" t="str">
        <f>HYPERLINK("./new_k5/query_cmdrels_weight_analyze/0.1_0.2_0.7/au_214643.xlsx","au_214643")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HYPERLINK("./new_k5/query_cmdrels_weight_analyze/0.1_0.2_0.7/au_2194.xlsx","au_2194")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0.12857142857142859</v>
      </c>
    </row>
    <row r="63" spans="1:7" x14ac:dyDescent="0.15">
      <c r="A63" t="str">
        <f>HYPERLINK("./new_k5/query_cmdrels_weight_analyze/0.1_0.2_0.7/au_221962.xlsx","au_221962")</f>
        <v>au_221962</v>
      </c>
      <c r="B63">
        <v>0</v>
      </c>
      <c r="C63">
        <v>0</v>
      </c>
      <c r="D63">
        <v>5.5555555555555552E-2</v>
      </c>
      <c r="E63">
        <v>5.5555555555555552E-2</v>
      </c>
      <c r="F63">
        <v>0.1388888888888889</v>
      </c>
      <c r="G63">
        <v>0.1388888888888889</v>
      </c>
    </row>
    <row r="64" spans="1:7" x14ac:dyDescent="0.15">
      <c r="A64" t="str">
        <f>HYPERLINK("./new_k5/query_cmdrels_weight_analyze/0.1_0.2_0.7/au_22608.xlsx","au_22608")</f>
        <v>au_22608</v>
      </c>
      <c r="B64">
        <v>0.33333333333333331</v>
      </c>
      <c r="C64">
        <v>0.33333333333333331</v>
      </c>
      <c r="D64">
        <v>0.33333333333333331</v>
      </c>
      <c r="E64">
        <v>0.33333333333333331</v>
      </c>
      <c r="F64">
        <v>0.33333333333333331</v>
      </c>
      <c r="G64">
        <v>0.5</v>
      </c>
    </row>
    <row r="65" spans="1:7" x14ac:dyDescent="0.15">
      <c r="A65" t="str">
        <f>HYPERLINK("./new_k5/query_cmdrels_weight_analyze/0.1_0.2_0.7/au_230698.xlsx","au_230698")</f>
        <v>au_230698</v>
      </c>
      <c r="B65">
        <v>0.125</v>
      </c>
      <c r="C65">
        <v>0.125</v>
      </c>
      <c r="D65">
        <v>0.25</v>
      </c>
      <c r="E65">
        <v>0.20833333333333329</v>
      </c>
      <c r="F65">
        <v>0.32500000000000001</v>
      </c>
      <c r="G65">
        <v>0.30208333333333331</v>
      </c>
    </row>
    <row r="66" spans="1:7" x14ac:dyDescent="0.15">
      <c r="A66" t="str">
        <f>HYPERLINK("./new_k5/query_cmdrels_weight_analyze/0.1_0.2_0.7/au_232442.xlsx","au_232442")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HYPERLINK("./new_k5/query_cmdrels_weight_analyze/0.1_0.2_0.7/au_233378.xlsx","au_233378")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HYPERLINK("./new_k5/query_cmdrels_weight_analyze/0.1_0.2_0.7/au_24027.xlsx","au_24027")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HYPERLINK("./new_k5/query_cmdrels_weight_analyze/0.1_0.2_0.7/au_246647.xlsx","au_246647")</f>
        <v>au_246647</v>
      </c>
      <c r="B69">
        <v>0.125</v>
      </c>
      <c r="C69">
        <v>0.125</v>
      </c>
      <c r="D69">
        <v>0.375</v>
      </c>
      <c r="E69">
        <v>0.25</v>
      </c>
      <c r="F69">
        <v>0.47499999999999998</v>
      </c>
      <c r="G69">
        <v>0.32500000000000001</v>
      </c>
    </row>
    <row r="70" spans="1:7" x14ac:dyDescent="0.15">
      <c r="A70" t="str">
        <f>HYPERLINK("./new_k5/query_cmdrels_weight_analyze/0.1_0.2_0.7/au_254424.xlsx","au_254424")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HYPERLINK("./new_k5/query_cmdrels_weight_analyze/0.1_0.2_0.7/au_255890.xlsx","au_255890")</f>
        <v>au_255890</v>
      </c>
      <c r="B71">
        <v>0</v>
      </c>
      <c r="C71">
        <v>0</v>
      </c>
      <c r="D71">
        <v>0.25</v>
      </c>
      <c r="E71">
        <v>0.16666666666666671</v>
      </c>
      <c r="F71">
        <v>0.25</v>
      </c>
      <c r="G71">
        <v>0.16666666666666671</v>
      </c>
    </row>
    <row r="72" spans="1:7" x14ac:dyDescent="0.15">
      <c r="A72" t="str">
        <f>HYPERLINK("./new_k5/query_cmdrels_weight_analyze/0.1_0.2_0.7/au_257248.xlsx","au_257248")</f>
        <v>au_257248</v>
      </c>
      <c r="B72">
        <v>0</v>
      </c>
      <c r="C72">
        <v>0</v>
      </c>
      <c r="D72">
        <v>0.16666666666666671</v>
      </c>
      <c r="E72">
        <v>7.1428571428571425E-2</v>
      </c>
      <c r="F72">
        <v>0.25238095238095237</v>
      </c>
      <c r="G72">
        <v>0.12857142857142859</v>
      </c>
    </row>
    <row r="73" spans="1:7" x14ac:dyDescent="0.15">
      <c r="A73" t="str">
        <f>HYPERLINK("./new_k5/query_cmdrels_weight_analyze/0.1_0.2_0.7/au_259354.xlsx","au_259354")</f>
        <v>au_259354</v>
      </c>
      <c r="B73">
        <v>0</v>
      </c>
      <c r="C73">
        <v>0.14285714285714279</v>
      </c>
      <c r="D73">
        <v>0.16666666666666671</v>
      </c>
      <c r="E73">
        <v>0.2857142857142857</v>
      </c>
      <c r="F73">
        <v>0.27380952380952378</v>
      </c>
      <c r="G73">
        <v>0.39285714285714279</v>
      </c>
    </row>
    <row r="74" spans="1:7" x14ac:dyDescent="0.15">
      <c r="A74" t="str">
        <f>HYPERLINK("./new_k5/query_cmdrels_weight_analyze/0.1_0.2_0.7/au_263378.xlsx","au_263378")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0.47499999999999998</v>
      </c>
    </row>
    <row r="75" spans="1:7" x14ac:dyDescent="0.15">
      <c r="A75" t="str">
        <f>HYPERLINK("./new_k5/query_cmdrels_weight_analyze/0.1_0.2_0.7/au_264215.xlsx","au_264215")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HYPERLINK("./new_k5/query_cmdrels_weight_analyze/0.1_0.2_0.7/au_265176.xlsx","au_265176")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HYPERLINK("./new_k5/query_cmdrels_weight_analyze/0.1_0.2_0.7/au_275704.xlsx","au_275704")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HYPERLINK("./new_k5/query_cmdrels_weight_analyze/0.1_0.2_0.7/au_276669.xlsx","au_276669")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HYPERLINK("./new_k5/query_cmdrels_weight_analyze/0.1_0.2_0.7/au_277565.xlsx","au_277565")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HYPERLINK("./new_k5/query_cmdrels_weight_analyze/0.1_0.2_0.7/au_278403.xlsx","au_278403")</f>
        <v>au_278403</v>
      </c>
      <c r="B80">
        <v>0</v>
      </c>
      <c r="C80">
        <v>0</v>
      </c>
      <c r="D80">
        <v>8.3333333333333329E-2</v>
      </c>
      <c r="E80">
        <v>8.3333333333333329E-2</v>
      </c>
      <c r="F80">
        <v>0.20833333333333329</v>
      </c>
      <c r="G80">
        <v>0.20833333333333329</v>
      </c>
    </row>
    <row r="81" spans="1:7" x14ac:dyDescent="0.15">
      <c r="A81" t="str">
        <f>HYPERLINK("./new_k5/query_cmdrels_weight_analyze/0.1_0.2_0.7/au_28039.xlsx","au_28039")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15">
      <c r="A82" t="str">
        <f>HYPERLINK("./new_k5/query_cmdrels_weight_analyze/0.1_0.2_0.7/au_281509.xlsx","au_281509")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HYPERLINK("./new_k5/query_cmdrels_weight_analyze/0.1_0.2_0.7/au_282806.xlsx","au_282806")</f>
        <v>au_282806</v>
      </c>
      <c r="B83">
        <v>0</v>
      </c>
      <c r="C83">
        <v>0</v>
      </c>
      <c r="D83">
        <v>0.38888888888888878</v>
      </c>
      <c r="E83">
        <v>0.16666666666666671</v>
      </c>
      <c r="F83">
        <v>0.38888888888888878</v>
      </c>
      <c r="G83">
        <v>0.16666666666666671</v>
      </c>
    </row>
    <row r="84" spans="1:7" x14ac:dyDescent="0.15">
      <c r="A84" t="str">
        <f>HYPERLINK("./new_k5/query_cmdrels_weight_analyze/0.1_0.2_0.7/au_283559.xlsx","au_283559")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HYPERLINK("./new_k5/query_cmdrels_weight_analyze/0.1_0.2_0.7/au_285539.xlsx","au_285539")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HYPERLINK("./new_k5/query_cmdrels_weight_analyze/0.1_0.2_0.7/au_287532.xlsx","au_287532")</f>
        <v>au_287532</v>
      </c>
      <c r="B86">
        <v>0</v>
      </c>
      <c r="C86">
        <v>0.25</v>
      </c>
      <c r="D86">
        <v>0</v>
      </c>
      <c r="E86">
        <v>0.25</v>
      </c>
      <c r="F86">
        <v>0</v>
      </c>
      <c r="G86">
        <v>0.375</v>
      </c>
    </row>
    <row r="87" spans="1:7" x14ac:dyDescent="0.15">
      <c r="A87" t="str">
        <f>HYPERLINK("./new_k5/query_cmdrels_weight_analyze/0.1_0.2_0.7/au_294257.xlsx","au_294257")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0.42857142857142849</v>
      </c>
      <c r="F87">
        <v>0.7142857142857143</v>
      </c>
      <c r="G87">
        <v>0.54285714285714282</v>
      </c>
    </row>
    <row r="88" spans="1:7" x14ac:dyDescent="0.15">
      <c r="A88" t="str">
        <f>HYPERLINK("./new_k5/query_cmdrels_weight_analyze/0.1_0.2_0.7/au_296155.xlsx","au_296155")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HYPERLINK("./new_k5/query_cmdrels_weight_analyze/0.1_0.2_0.7/au_299975.xlsx","au_299975")</f>
        <v>au_299975</v>
      </c>
      <c r="B89">
        <v>0.25</v>
      </c>
      <c r="C89">
        <v>0</v>
      </c>
      <c r="D89">
        <v>0.5</v>
      </c>
      <c r="E89">
        <v>0.125</v>
      </c>
      <c r="F89">
        <v>0.6875</v>
      </c>
      <c r="G89">
        <v>0.125</v>
      </c>
    </row>
    <row r="90" spans="1:7" x14ac:dyDescent="0.15">
      <c r="A90" t="str">
        <f>HYPERLINK("./new_k5/query_cmdrels_weight_analyze/0.1_0.2_0.7/au_301096.xlsx","au_301096")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HYPERLINK("./new_k5/query_cmdrels_weight_analyze/0.1_0.2_0.7/au_303593.xlsx","au_303593")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HYPERLINK("./new_k5/query_cmdrels_weight_analyze/0.1_0.2_0.7/au_303849.xlsx","au_303849")</f>
        <v>au_303849</v>
      </c>
      <c r="B92">
        <v>0.1111111111111111</v>
      </c>
      <c r="C92">
        <v>0</v>
      </c>
      <c r="D92">
        <v>0.1111111111111111</v>
      </c>
      <c r="E92">
        <v>3.7037037037037028E-2</v>
      </c>
      <c r="F92">
        <v>0.1111111111111111</v>
      </c>
      <c r="G92">
        <v>9.2592592592592587E-2</v>
      </c>
    </row>
    <row r="93" spans="1:7" x14ac:dyDescent="0.15">
      <c r="A93" t="str">
        <f>HYPERLINK("./new_k5/query_cmdrels_weight_analyze/0.1_0.2_0.7/au_307541.xlsx","au_307541")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HYPERLINK("./new_k5/query_cmdrels_weight_analyze/0.1_0.2_0.7/au_307688.xlsx","au_307688")</f>
        <v>au_307688</v>
      </c>
      <c r="B94">
        <v>0.2</v>
      </c>
      <c r="C94">
        <v>0.2</v>
      </c>
      <c r="D94">
        <v>0.33333333333333331</v>
      </c>
      <c r="E94">
        <v>0.33333333333333331</v>
      </c>
      <c r="F94">
        <v>0.33333333333333331</v>
      </c>
      <c r="G94">
        <v>0.33333333333333331</v>
      </c>
    </row>
    <row r="95" spans="1:7" x14ac:dyDescent="0.15">
      <c r="A95" t="str">
        <f>HYPERLINK("./new_k5/query_cmdrels_weight_analyze/0.1_0.2_0.7/au_309047.xlsx","au_309047")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HYPERLINK("./new_k5/query_cmdrels_weight_analyze/0.1_0.2_0.7/au_311558.xlsx","au_311558")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0.60416666666666663</v>
      </c>
    </row>
    <row r="97" spans="1:7" x14ac:dyDescent="0.15">
      <c r="A97" t="str">
        <f>HYPERLINK("./new_k5/query_cmdrels_weight_analyze/0.1_0.2_0.7/au_318973.xlsx","au_318973")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HYPERLINK("./new_k5/query_cmdrels_weight_analyze/0.1_0.2_0.7/au_3205.xlsx","au_3205")</f>
        <v>au_3205</v>
      </c>
      <c r="B98">
        <v>0.5</v>
      </c>
      <c r="C98">
        <v>0.5</v>
      </c>
      <c r="D98">
        <v>0.5</v>
      </c>
      <c r="E98">
        <v>0.83333333333333326</v>
      </c>
      <c r="F98">
        <v>0.5</v>
      </c>
      <c r="G98">
        <v>0.83333333333333326</v>
      </c>
    </row>
    <row r="99" spans="1:7" x14ac:dyDescent="0.15">
      <c r="A99" t="str">
        <f>HYPERLINK("./new_k5/query_cmdrels_weight_analyze/0.1_0.2_0.7/au_323131.xlsx","au_323131")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HYPERLINK("./new_k5/query_cmdrels_weight_analyze/0.1_0.2_0.7/au_323392.xlsx","au_323392")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HYPERLINK("./new_k5/query_cmdrels_weight_analyze/0.1_0.2_0.7/au_325368.xlsx","au_325368")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HYPERLINK("./new_k5/query_cmdrels_weight_analyze/0.1_0.2_0.7/au_328162.xlsx","au_328162")</f>
        <v>au_328162</v>
      </c>
      <c r="B102">
        <v>0.33333333333333331</v>
      </c>
      <c r="C102">
        <v>0.33333333333333331</v>
      </c>
      <c r="D102">
        <v>1</v>
      </c>
      <c r="E102">
        <v>0.66666666666666663</v>
      </c>
      <c r="F102">
        <v>1</v>
      </c>
      <c r="G102">
        <v>0.66666666666666663</v>
      </c>
    </row>
    <row r="103" spans="1:7" x14ac:dyDescent="0.15">
      <c r="A103" t="str">
        <f>HYPERLINK("./new_k5/query_cmdrels_weight_analyze/0.1_0.2_0.7/au_330148.xlsx","au_330148")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HYPERLINK("./new_k5/query_cmdrels_weight_analyze/0.1_0.2_0.7/au_332315.xlsx","au_332315")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HYPERLINK("./new_k5/query_cmdrels_weight_analyze/0.1_0.2_0.7/au_334081.xlsx","au_334081")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HYPERLINK("./new_k5/query_cmdrels_weight_analyze/0.1_0.2_0.7/au_34077.xlsx","au_34077")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0.5</v>
      </c>
      <c r="F106">
        <v>0.33333333333333331</v>
      </c>
      <c r="G106">
        <v>0.6333333333333333</v>
      </c>
    </row>
    <row r="107" spans="1:7" x14ac:dyDescent="0.15">
      <c r="A107" t="str">
        <f>HYPERLINK("./new_k5/query_cmdrels_weight_analyze/0.1_0.2_0.7/au_341428.xlsx","au_341428")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0.39285714285714279</v>
      </c>
    </row>
    <row r="108" spans="1:7" x14ac:dyDescent="0.15">
      <c r="A108" t="str">
        <f>HYPERLINK("./new_k5/query_cmdrels_weight_analyze/0.1_0.2_0.7/au_341584.xlsx","au_341584")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HYPERLINK("./new_k5/query_cmdrels_weight_analyze/0.1_0.2_0.7/au_346864.xlsx","au_346864")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0.2857142857142857</v>
      </c>
      <c r="F109">
        <v>0.23809523809523811</v>
      </c>
      <c r="G109">
        <v>0.39285714285714279</v>
      </c>
    </row>
    <row r="110" spans="1:7" x14ac:dyDescent="0.15">
      <c r="A110" t="str">
        <f>HYPERLINK("./new_k5/query_cmdrels_weight_analyze/0.1_0.2_0.7/au_351765.xlsx","au_351765")</f>
        <v>au_351765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15">
      <c r="A111" t="str">
        <f>HYPERLINK("./new_k5/query_cmdrels_weight_analyze/0.1_0.2_0.7/au_35922.xlsx","au_35922")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HYPERLINK("./new_k5/query_cmdrels_weight_analyze/0.1_0.2_0.7/au_359856.xlsx","au_359856")</f>
        <v>au_359856</v>
      </c>
      <c r="B112">
        <v>0.25</v>
      </c>
      <c r="C112">
        <v>0.25</v>
      </c>
      <c r="D112">
        <v>0.75</v>
      </c>
      <c r="E112">
        <v>0.5</v>
      </c>
      <c r="F112">
        <v>0.95</v>
      </c>
      <c r="G112">
        <v>0.65</v>
      </c>
    </row>
    <row r="113" spans="1:7" x14ac:dyDescent="0.15">
      <c r="A113" t="str">
        <f>HYPERLINK("./new_k5/query_cmdrels_weight_analyze/0.1_0.2_0.7/au_360423.xlsx","au_360423")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HYPERLINK("./new_k5/query_cmdrels_weight_analyze/0.1_0.2_0.7/au_36287.xlsx","au_36287")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HYPERLINK("./new_k5/query_cmdrels_weight_analyze/0.1_0.2_0.7/au_366742.xlsx","au_366742")</f>
        <v>au_366742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6.25E-2</v>
      </c>
    </row>
    <row r="116" spans="1:7" x14ac:dyDescent="0.15">
      <c r="A116" t="str">
        <f>HYPERLINK("./new_k5/query_cmdrels_weight_analyze/0.1_0.2_0.7/au_377937.xlsx","au_377937")</f>
        <v>au_377937</v>
      </c>
      <c r="B116">
        <v>0.25</v>
      </c>
      <c r="C116">
        <v>0.25</v>
      </c>
      <c r="D116">
        <v>0.5</v>
      </c>
      <c r="E116">
        <v>0.75</v>
      </c>
      <c r="F116">
        <v>0.5</v>
      </c>
      <c r="G116">
        <v>0.75</v>
      </c>
    </row>
    <row r="117" spans="1:7" x14ac:dyDescent="0.15">
      <c r="A117" t="str">
        <f>HYPERLINK("./new_k5/query_cmdrels_weight_analyze/0.1_0.2_0.7/au_383997.xlsx","au_383997")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0.50714285714285712</v>
      </c>
    </row>
    <row r="118" spans="1:7" x14ac:dyDescent="0.15">
      <c r="A118" t="str">
        <f>HYPERLINK("./new_k5/query_cmdrels_weight_analyze/0.1_0.2_0.7/au_3883.xlsx","au_3883")</f>
        <v>au_3883</v>
      </c>
      <c r="B118">
        <v>0.25</v>
      </c>
      <c r="C118">
        <v>0.25</v>
      </c>
      <c r="D118">
        <v>0.25</v>
      </c>
      <c r="E118">
        <v>0.41666666666666657</v>
      </c>
      <c r="F118">
        <v>0.375</v>
      </c>
      <c r="G118">
        <v>0.41666666666666657</v>
      </c>
    </row>
    <row r="119" spans="1:7" x14ac:dyDescent="0.15">
      <c r="A119" t="str">
        <f>HYPERLINK("./new_k5/query_cmdrels_weight_analyze/0.1_0.2_0.7/au_396883.xlsx","au_396883")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HYPERLINK("./new_k5/query_cmdrels_weight_analyze/0.1_0.2_0.7/au_39760.xlsx","au_39760")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HYPERLINK("./new_k5/query_cmdrels_weight_analyze/0.1_0.2_0.7/au_398818.xlsx","au_398818")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HYPERLINK("./new_k5/query_cmdrels_weight_analyze/0.1_0.2_0.7/au_400807.xlsx","au_400807")</f>
        <v>au_400807</v>
      </c>
      <c r="B122">
        <v>0</v>
      </c>
      <c r="C122">
        <v>0.33333333333333331</v>
      </c>
      <c r="D122">
        <v>0.16666666666666671</v>
      </c>
      <c r="E122">
        <v>0.55555555555555547</v>
      </c>
      <c r="F122">
        <v>0.16666666666666671</v>
      </c>
      <c r="G122">
        <v>0.80555555555555547</v>
      </c>
    </row>
    <row r="123" spans="1:7" x14ac:dyDescent="0.15">
      <c r="A123" t="str">
        <f>HYPERLINK("./new_k5/query_cmdrels_weight_analyze/0.1_0.2_0.7/au_408611.xlsx","au_408611")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HYPERLINK("./new_k5/query_cmdrels_weight_analyze/0.1_0.2_0.7/au_414737.xlsx","au_414737")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HYPERLINK("./new_k5/query_cmdrels_weight_analyze/0.1_0.2_0.7/au_420722.xlsx","au_420722")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HYPERLINK("./new_k5/query_cmdrels_weight_analyze/0.1_0.2_0.7/au_423942.xlsx","au_423942")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0.33333333333333331</v>
      </c>
      <c r="F126">
        <v>0.8666666666666667</v>
      </c>
      <c r="G126">
        <v>0.5</v>
      </c>
    </row>
    <row r="127" spans="1:7" x14ac:dyDescent="0.15">
      <c r="A127" t="str">
        <f>HYPERLINK("./new_k5/query_cmdrels_weight_analyze/0.1_0.2_0.7/au_430382.xlsx","au_430382")</f>
        <v>au_430382</v>
      </c>
      <c r="B127">
        <v>0</v>
      </c>
      <c r="C127">
        <v>0.25</v>
      </c>
      <c r="D127">
        <v>0.29166666666666657</v>
      </c>
      <c r="E127">
        <v>0.41666666666666657</v>
      </c>
      <c r="F127">
        <v>0.29166666666666657</v>
      </c>
      <c r="G127">
        <v>0.41666666666666657</v>
      </c>
    </row>
    <row r="128" spans="1:7" x14ac:dyDescent="0.15">
      <c r="A128" t="str">
        <f>HYPERLINK("./new_k5/query_cmdrels_weight_analyze/0.1_0.2_0.7/au_432836.xlsx","au_432836")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0.23809523809523811</v>
      </c>
      <c r="F128">
        <v>0.2142857142857143</v>
      </c>
      <c r="G128">
        <v>0.23809523809523811</v>
      </c>
    </row>
    <row r="129" spans="1:7" x14ac:dyDescent="0.15">
      <c r="A129" t="str">
        <f>HYPERLINK("./new_k5/query_cmdrels_weight_analyze/0.1_0.2_0.7/au_440326.xlsx","au_440326")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HYPERLINK("./new_k5/query_cmdrels_weight_analyze/0.1_0.2_0.7/au_442914.xlsx","au_442914")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HYPERLINK("./new_k5/query_cmdrels_weight_analyze/0.1_0.2_0.7/au_443227.xlsx","au_443227")</f>
        <v>au_443227</v>
      </c>
      <c r="B131">
        <v>0.5</v>
      </c>
      <c r="C131">
        <v>0.5</v>
      </c>
      <c r="D131">
        <v>0.5</v>
      </c>
      <c r="E131">
        <v>0.5</v>
      </c>
      <c r="F131">
        <v>0.5</v>
      </c>
      <c r="G131">
        <v>0.5</v>
      </c>
    </row>
    <row r="132" spans="1:7" x14ac:dyDescent="0.15">
      <c r="A132" t="str">
        <f>HYPERLINK("./new_k5/query_cmdrels_weight_analyze/0.1_0.2_0.7/au_44534.xlsx","au_44534")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0.3666666666666667</v>
      </c>
    </row>
    <row r="133" spans="1:7" x14ac:dyDescent="0.15">
      <c r="A133" t="str">
        <f>HYPERLINK("./new_k5/query_cmdrels_weight_analyze/0.1_0.2_0.7/au_451805.xlsx","au_451805")</f>
        <v>au_451805</v>
      </c>
      <c r="B133">
        <v>0.33333333333333331</v>
      </c>
      <c r="C133">
        <v>0.33333333333333331</v>
      </c>
      <c r="D133">
        <v>0.33333333333333331</v>
      </c>
      <c r="E133">
        <v>0.33333333333333331</v>
      </c>
      <c r="F133">
        <v>0.33333333333333331</v>
      </c>
      <c r="G133">
        <v>0.33333333333333331</v>
      </c>
    </row>
    <row r="134" spans="1:7" x14ac:dyDescent="0.15">
      <c r="A134" t="str">
        <f>HYPERLINK("./new_k5/query_cmdrels_weight_analyze/0.1_0.2_0.7/au_464264.xlsx","au_464264")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0.16666666666666671</v>
      </c>
    </row>
    <row r="135" spans="1:7" x14ac:dyDescent="0.15">
      <c r="A135" t="str">
        <f>HYPERLINK("./new_k5/query_cmdrels_weight_analyze/0.1_0.2_0.7/au_468808.xlsx","au_468808")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HYPERLINK("./new_k5/query_cmdrels_weight_analyze/0.1_0.2_0.7/au_469143.xlsx","au_469143")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HYPERLINK("./new_k5/query_cmdrels_weight_analyze/0.1_0.2_0.7/au_470237.xlsx","au_470237")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HYPERLINK("./new_k5/query_cmdrels_weight_analyze/0.1_0.2_0.7/au_473037.xlsx","au_473037")</f>
        <v>au_473037</v>
      </c>
      <c r="B138">
        <v>0.5</v>
      </c>
      <c r="C138">
        <v>0</v>
      </c>
      <c r="D138">
        <v>0.83333333333333326</v>
      </c>
      <c r="E138">
        <v>0.25</v>
      </c>
      <c r="F138">
        <v>0.83333333333333326</v>
      </c>
      <c r="G138">
        <v>0.25</v>
      </c>
    </row>
    <row r="139" spans="1:7" x14ac:dyDescent="0.15">
      <c r="A139" t="str">
        <f>HYPERLINK("./new_k5/query_cmdrels_weight_analyze/0.1_0.2_0.7/au_48362.xlsx","au_48362")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HYPERLINK("./new_k5/query_cmdrels_weight_analyze/0.1_0.2_0.7/au_488435.xlsx","au_488435")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HYPERLINK("./new_k5/query_cmdrels_weight_analyze/0.1_0.2_0.7/au_493826.xlsx","au_493826")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HYPERLINK("./new_k5/query_cmdrels_weight_analyze/0.1_0.2_0.7/au_502110.xlsx","au_502110")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HYPERLINK("./new_k5/query_cmdrels_weight_analyze/0.1_0.2_0.7/au_50344.xlsx","au_50344")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HYPERLINK("./new_k5/query_cmdrels_weight_analyze/0.1_0.2_0.7/au_511467.xlsx","au_511467")</f>
        <v>au_511467</v>
      </c>
      <c r="B144">
        <v>0</v>
      </c>
      <c r="C144">
        <v>0</v>
      </c>
      <c r="D144">
        <v>0.19444444444444439</v>
      </c>
      <c r="E144">
        <v>8.3333333333333329E-2</v>
      </c>
      <c r="F144">
        <v>0.19444444444444439</v>
      </c>
      <c r="G144">
        <v>8.3333333333333329E-2</v>
      </c>
    </row>
    <row r="145" spans="1:7" x14ac:dyDescent="0.15">
      <c r="A145" t="str">
        <f>HYPERLINK("./new_k5/query_cmdrels_weight_analyze/0.1_0.2_0.7/au_513046.xlsx","au_513046")</f>
        <v>au_513046</v>
      </c>
      <c r="B145">
        <v>0.25</v>
      </c>
      <c r="C145">
        <v>0</v>
      </c>
      <c r="D145">
        <v>0.5</v>
      </c>
      <c r="E145">
        <v>0.29166666666666657</v>
      </c>
      <c r="F145">
        <v>0.5</v>
      </c>
      <c r="G145">
        <v>0.44166666666666671</v>
      </c>
    </row>
    <row r="146" spans="1:7" x14ac:dyDescent="0.15">
      <c r="A146" t="str">
        <f>HYPERLINK("./new_k5/query_cmdrels_weight_analyze/0.1_0.2_0.7/au_517354.xlsx","au_517354")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0.14285714285714279</v>
      </c>
      <c r="F146">
        <v>0.2142857142857143</v>
      </c>
      <c r="G146">
        <v>0.2142857142857143</v>
      </c>
    </row>
    <row r="147" spans="1:7" x14ac:dyDescent="0.15">
      <c r="A147" t="str">
        <f>HYPERLINK("./new_k5/query_cmdrels_weight_analyze/0.1_0.2_0.7/au_522431.xlsx","au_522431")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0.35333333333333328</v>
      </c>
    </row>
    <row r="148" spans="1:7" x14ac:dyDescent="0.15">
      <c r="A148" t="str">
        <f>HYPERLINK("./new_k5/query_cmdrels_weight_analyze/0.1_0.2_0.7/au_52773.xlsx","au_52773")</f>
        <v>au_52773</v>
      </c>
      <c r="B148">
        <v>0</v>
      </c>
      <c r="C148">
        <v>0</v>
      </c>
      <c r="D148">
        <v>0.23333333333333331</v>
      </c>
      <c r="E148">
        <v>6.6666666666666666E-2</v>
      </c>
      <c r="F148">
        <v>0.23333333333333331</v>
      </c>
      <c r="G148">
        <v>0.1466666666666667</v>
      </c>
    </row>
    <row r="149" spans="1:7" x14ac:dyDescent="0.15">
      <c r="A149" t="str">
        <f>HYPERLINK("./new_k5/query_cmdrels_weight_analyze/0.1_0.2_0.7/au_528411.xlsx","au_528411")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HYPERLINK("./new_k5/query_cmdrels_weight_analyze/0.1_0.2_0.7/au_53263.xlsx","au_53263")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0.75</v>
      </c>
    </row>
    <row r="151" spans="1:7" x14ac:dyDescent="0.15">
      <c r="A151" t="str">
        <f>HYPERLINK("./new_k5/query_cmdrels_weight_analyze/0.1_0.2_0.7/au_53444.xlsx","au_53444")</f>
        <v>au_53444</v>
      </c>
      <c r="B151">
        <v>0.5</v>
      </c>
      <c r="C151">
        <v>0</v>
      </c>
      <c r="D151">
        <v>0.5</v>
      </c>
      <c r="E151">
        <v>0</v>
      </c>
      <c r="F151">
        <v>0.5</v>
      </c>
      <c r="G151">
        <v>0</v>
      </c>
    </row>
    <row r="152" spans="1:7" x14ac:dyDescent="0.15">
      <c r="A152" t="str">
        <f>HYPERLINK("./new_k5/query_cmdrels_weight_analyze/0.1_0.2_0.7/au_538208.xlsx","au_538208")</f>
        <v>au_538208</v>
      </c>
      <c r="B152">
        <v>0.125</v>
      </c>
      <c r="C152">
        <v>0.125</v>
      </c>
      <c r="D152">
        <v>0.375</v>
      </c>
      <c r="E152">
        <v>0.375</v>
      </c>
      <c r="F152">
        <v>0.5</v>
      </c>
      <c r="G152">
        <v>0.47499999999999998</v>
      </c>
    </row>
    <row r="153" spans="1:7" x14ac:dyDescent="0.15">
      <c r="A153" t="str">
        <f>HYPERLINK("./new_k5/query_cmdrels_weight_analyze/0.1_0.2_0.7/au_53822.xlsx","au_53822")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HYPERLINK("./new_k5/query_cmdrels_weight_analyze/0.1_0.2_0.7/au_539243.xlsx","au_539243")</f>
        <v>au_539243</v>
      </c>
      <c r="B154">
        <v>0.33333333333333331</v>
      </c>
      <c r="C154">
        <v>0.33333333333333331</v>
      </c>
      <c r="D154">
        <v>0.66666666666666663</v>
      </c>
      <c r="E154">
        <v>0.33333333333333331</v>
      </c>
      <c r="F154">
        <v>0.66666666666666663</v>
      </c>
      <c r="G154">
        <v>0.5</v>
      </c>
    </row>
    <row r="155" spans="1:7" x14ac:dyDescent="0.15">
      <c r="A155" t="str">
        <f>HYPERLINK("./new_k5/query_cmdrels_weight_analyze/0.1_0.2_0.7/au_558280.xlsx","au_558280")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HYPERLINK("./new_k5/query_cmdrels_weight_analyze/0.1_0.2_0.7/au_558669.xlsx","au_558669")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HYPERLINK("./new_k5/query_cmdrels_weight_analyze/0.1_0.2_0.7/au_55868.xlsx","au_55868")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HYPERLINK("./new_k5/query_cmdrels_weight_analyze/0.1_0.2_0.7/au_561.xlsx","au_561")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0.5</v>
      </c>
    </row>
    <row r="159" spans="1:7" x14ac:dyDescent="0.15">
      <c r="A159" t="str">
        <f>HYPERLINK("./new_k5/query_cmdrels_weight_analyze/0.1_0.2_0.7/au_564567.xlsx","au_564567")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HYPERLINK("./new_k5/query_cmdrels_weight_analyze/0.1_0.2_0.7/au_57994.xlsx","au_57994")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0.2857142857142857</v>
      </c>
      <c r="F160">
        <v>0.5714285714285714</v>
      </c>
      <c r="G160">
        <v>0.50714285714285712</v>
      </c>
    </row>
    <row r="161" spans="1:7" x14ac:dyDescent="0.15">
      <c r="A161" t="str">
        <f>HYPERLINK("./new_k5/query_cmdrels_weight_analyze/0.1_0.2_0.7/au_589210.xlsx","au_589210")</f>
        <v>au_589210</v>
      </c>
      <c r="B161">
        <v>0.25</v>
      </c>
      <c r="C161">
        <v>0.25</v>
      </c>
      <c r="D161">
        <v>0.5</v>
      </c>
      <c r="E161">
        <v>0.41666666666666657</v>
      </c>
      <c r="F161">
        <v>0.5</v>
      </c>
      <c r="G161">
        <v>0.41666666666666657</v>
      </c>
    </row>
    <row r="162" spans="1:7" x14ac:dyDescent="0.15">
      <c r="A162" t="str">
        <f>HYPERLINK("./new_k5/query_cmdrels_weight_analyze/0.1_0.2_0.7/au_5911.xlsx","au_5911")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HYPERLINK("./new_k5/query_cmdrels_weight_analyze/0.1_0.2_0.7/au_59356.xlsx","au_59356")</f>
        <v>au_59356</v>
      </c>
      <c r="B163">
        <v>0</v>
      </c>
      <c r="C163">
        <v>0</v>
      </c>
      <c r="D163">
        <v>0.16666666666666671</v>
      </c>
      <c r="E163">
        <v>0.25</v>
      </c>
      <c r="F163">
        <v>0.16666666666666671</v>
      </c>
      <c r="G163">
        <v>0.25</v>
      </c>
    </row>
    <row r="164" spans="1:7" x14ac:dyDescent="0.15">
      <c r="A164" t="str">
        <f>HYPERLINK("./new_k5/query_cmdrels_weight_analyze/0.1_0.2_0.7/au_609850.xlsx","au_609850")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HYPERLINK("./new_k5/query_cmdrels_weight_analyze/0.1_0.2_0.7/au_61408.xlsx","au_61408")</f>
        <v>au_61408</v>
      </c>
      <c r="B165">
        <v>0</v>
      </c>
      <c r="C165">
        <v>0.33333333333333331</v>
      </c>
      <c r="D165">
        <v>0.16666666666666671</v>
      </c>
      <c r="E165">
        <v>0.55555555555555547</v>
      </c>
      <c r="F165">
        <v>0.16666666666666671</v>
      </c>
      <c r="G165">
        <v>0.55555555555555547</v>
      </c>
    </row>
    <row r="166" spans="1:7" x14ac:dyDescent="0.15">
      <c r="A166" t="str">
        <f>HYPERLINK("./new_k5/query_cmdrels_weight_analyze/0.1_0.2_0.7/au_617850.xlsx","au_617850")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HYPERLINK("./new_k5/query_cmdrels_weight_analyze/0.1_0.2_0.7/au_62073.xlsx","au_62073")</f>
        <v>au_62073</v>
      </c>
      <c r="B167">
        <v>0</v>
      </c>
      <c r="C167">
        <v>0.2</v>
      </c>
      <c r="D167">
        <v>0.23333333333333331</v>
      </c>
      <c r="E167">
        <v>0.33333333333333331</v>
      </c>
      <c r="F167">
        <v>0.23333333333333331</v>
      </c>
      <c r="G167">
        <v>0.33333333333333331</v>
      </c>
    </row>
    <row r="168" spans="1:7" x14ac:dyDescent="0.15">
      <c r="A168" t="str">
        <f>HYPERLINK("./new_k5/query_cmdrels_weight_analyze/0.1_0.2_0.7/au_620930.xlsx","au_620930")</f>
        <v>au_620930</v>
      </c>
      <c r="B168">
        <v>0.2</v>
      </c>
      <c r="C168">
        <v>0.2</v>
      </c>
      <c r="D168">
        <v>0.4</v>
      </c>
      <c r="E168">
        <v>0.4</v>
      </c>
      <c r="F168">
        <v>0.4</v>
      </c>
      <c r="G168">
        <v>0.55000000000000004</v>
      </c>
    </row>
    <row r="169" spans="1:7" x14ac:dyDescent="0.15">
      <c r="A169" t="str">
        <f>HYPERLINK("./new_k5/query_cmdrels_weight_analyze/0.1_0.2_0.7/au_62492.xlsx","au_62492")</f>
        <v>au_62492</v>
      </c>
      <c r="B169">
        <v>0.2</v>
      </c>
      <c r="C169">
        <v>0.2</v>
      </c>
      <c r="D169">
        <v>0.33333333333333331</v>
      </c>
      <c r="E169">
        <v>0.6</v>
      </c>
      <c r="F169">
        <v>0.48333333333333328</v>
      </c>
      <c r="G169">
        <v>0.8</v>
      </c>
    </row>
    <row r="170" spans="1:7" x14ac:dyDescent="0.15">
      <c r="A170" t="str">
        <f>HYPERLINK("./new_k5/query_cmdrels_weight_analyze/0.1_0.2_0.7/au_626078.xlsx","au_626078")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HYPERLINK("./new_k5/query_cmdrels_weight_analyze/0.1_0.2_0.7/au_636944.xlsx","au_636944")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HYPERLINK("./new_k5/query_cmdrels_weight_analyze/0.1_0.2_0.7/au_648603.xlsx","au_648603")</f>
        <v>au_648603</v>
      </c>
      <c r="B172">
        <v>0.25</v>
      </c>
      <c r="C172">
        <v>0.25</v>
      </c>
      <c r="D172">
        <v>0.25</v>
      </c>
      <c r="E172">
        <v>0.41666666666666657</v>
      </c>
      <c r="F172">
        <v>0.25</v>
      </c>
      <c r="G172">
        <v>0.56666666666666665</v>
      </c>
    </row>
    <row r="173" spans="1:7" x14ac:dyDescent="0.15">
      <c r="A173" t="str">
        <f>HYPERLINK("./new_k5/query_cmdrels_weight_analyze/0.1_0.2_0.7/au_65331.xlsx","au_65331")</f>
        <v>au_65331</v>
      </c>
      <c r="B173">
        <v>0</v>
      </c>
      <c r="C173">
        <v>0.16666666666666671</v>
      </c>
      <c r="D173">
        <v>8.3333333333333329E-2</v>
      </c>
      <c r="E173">
        <v>0.33333333333333331</v>
      </c>
      <c r="F173">
        <v>0.16666666666666671</v>
      </c>
      <c r="G173">
        <v>0.45833333333333331</v>
      </c>
    </row>
    <row r="174" spans="1:7" x14ac:dyDescent="0.15">
      <c r="A174" t="str">
        <f>HYPERLINK("./new_k5/query_cmdrels_weight_analyze/0.1_0.2_0.7/au_66000.xlsx","au_66000")</f>
        <v>au_66000</v>
      </c>
      <c r="B174">
        <v>0</v>
      </c>
      <c r="C174">
        <v>0.2</v>
      </c>
      <c r="D174">
        <v>0</v>
      </c>
      <c r="E174">
        <v>0.33333333333333331</v>
      </c>
      <c r="F174">
        <v>0</v>
      </c>
      <c r="G174">
        <v>0.64333333333333331</v>
      </c>
    </row>
    <row r="175" spans="1:7" x14ac:dyDescent="0.15">
      <c r="A175" t="str">
        <f>HYPERLINK("./new_k5/query_cmdrels_weight_analyze/0.1_0.2_0.7/au_660846.xlsx","au_660846")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HYPERLINK("./new_k5/query_cmdrels_weight_analyze/0.1_0.2_0.7/au_662935.xlsx","au_662935")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0.25</v>
      </c>
    </row>
    <row r="177" spans="1:7" x14ac:dyDescent="0.15">
      <c r="A177" t="str">
        <f>HYPERLINK("./new_k5/query_cmdrels_weight_analyze/0.1_0.2_0.7/au_67663.xlsx","au_67663")</f>
        <v>au_67663</v>
      </c>
      <c r="B177">
        <v>0</v>
      </c>
      <c r="C177">
        <v>0.25</v>
      </c>
      <c r="D177">
        <v>0.29166666666666657</v>
      </c>
      <c r="E177">
        <v>0.25</v>
      </c>
      <c r="F177">
        <v>0.29166666666666657</v>
      </c>
      <c r="G177">
        <v>0.52500000000000002</v>
      </c>
    </row>
    <row r="178" spans="1:7" x14ac:dyDescent="0.15">
      <c r="A178" t="str">
        <f>HYPERLINK("./new_k5/query_cmdrels_weight_analyze/0.1_0.2_0.7/au_68028.xlsx","au_68028")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0.42857142857142849</v>
      </c>
      <c r="F178">
        <v>0.37142857142857139</v>
      </c>
      <c r="G178">
        <v>0.42857142857142849</v>
      </c>
    </row>
    <row r="179" spans="1:7" x14ac:dyDescent="0.15">
      <c r="A179" t="str">
        <f>HYPERLINK("./new_k5/query_cmdrels_weight_analyze/0.1_0.2_0.7/au_681312.xlsx","au_681312")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0.42857142857142849</v>
      </c>
      <c r="F179">
        <v>0.42857142857142849</v>
      </c>
      <c r="G179">
        <v>0.5714285714285714</v>
      </c>
    </row>
    <row r="180" spans="1:7" x14ac:dyDescent="0.15">
      <c r="A180" t="str">
        <f>HYPERLINK("./new_k5/query_cmdrels_weight_analyze/0.1_0.2_0.7/au_686239.xlsx","au_686239")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15">
      <c r="A181" t="str">
        <f>HYPERLINK("./new_k5/query_cmdrels_weight_analyze/0.1_0.2_0.7/au_68809.xlsx","au_68809")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0.20833333333333329</v>
      </c>
    </row>
    <row r="182" spans="1:7" x14ac:dyDescent="0.15">
      <c r="A182" t="str">
        <f>HYPERLINK("./new_k5/query_cmdrels_weight_analyze/0.1_0.2_0.7/au_69556.xlsx","au_69556")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HYPERLINK("./new_k5/query_cmdrels_weight_analyze/0.1_0.2_0.7/au_698993.xlsx","au_698993")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HYPERLINK("./new_k5/query_cmdrels_weight_analyze/0.1_0.2_0.7/au_707881.xlsx","au_707881")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0.16666666666666671</v>
      </c>
    </row>
    <row r="185" spans="1:7" x14ac:dyDescent="0.15">
      <c r="A185" t="str">
        <f>HYPERLINK("./new_k5/query_cmdrels_weight_analyze/0.1_0.2_0.7/au_709594.xlsx","au_709594")</f>
        <v>au_709594</v>
      </c>
      <c r="B185">
        <v>0.33333333333333331</v>
      </c>
      <c r="C185">
        <v>0.33333333333333331</v>
      </c>
      <c r="D185">
        <v>0.66666666666666663</v>
      </c>
      <c r="E185">
        <v>1</v>
      </c>
      <c r="F185">
        <v>0.91666666666666663</v>
      </c>
      <c r="G185">
        <v>1</v>
      </c>
    </row>
    <row r="186" spans="1:7" x14ac:dyDescent="0.15">
      <c r="A186" t="str">
        <f>HYPERLINK("./new_k5/query_cmdrels_weight_analyze/0.1_0.2_0.7/au_71309.xlsx","au_71309")</f>
        <v>au_71309</v>
      </c>
      <c r="B186">
        <v>0.125</v>
      </c>
      <c r="C186">
        <v>0.125</v>
      </c>
      <c r="D186">
        <v>0.20833333333333329</v>
      </c>
      <c r="E186">
        <v>0.20833333333333329</v>
      </c>
      <c r="F186">
        <v>0.20833333333333329</v>
      </c>
      <c r="G186">
        <v>0.30208333333333331</v>
      </c>
    </row>
    <row r="187" spans="1:7" x14ac:dyDescent="0.15">
      <c r="A187" t="str">
        <f>HYPERLINK("./new_k5/query_cmdrels_weight_analyze/0.1_0.2_0.7/au_7138.xlsx","au_7138")</f>
        <v>au_7138</v>
      </c>
      <c r="B187">
        <v>0.25</v>
      </c>
      <c r="C187">
        <v>0</v>
      </c>
      <c r="D187">
        <v>0.75</v>
      </c>
      <c r="E187">
        <v>8.3333333333333329E-2</v>
      </c>
      <c r="F187">
        <v>0.75</v>
      </c>
      <c r="G187">
        <v>0.20833333333333329</v>
      </c>
    </row>
    <row r="188" spans="1:7" x14ac:dyDescent="0.15">
      <c r="A188" t="str">
        <f>HYPERLINK("./new_k5/query_cmdrels_weight_analyze/0.1_0.2_0.7/au_72549.xlsx","au_72549")</f>
        <v>au_72549</v>
      </c>
      <c r="B188">
        <v>0</v>
      </c>
      <c r="C188">
        <v>0</v>
      </c>
      <c r="D188">
        <v>0</v>
      </c>
      <c r="E188">
        <v>8.3333333333333329E-2</v>
      </c>
      <c r="F188">
        <v>0</v>
      </c>
      <c r="G188">
        <v>8.3333333333333329E-2</v>
      </c>
    </row>
    <row r="189" spans="1:7" x14ac:dyDescent="0.15">
      <c r="A189" t="str">
        <f>HYPERLINK("./new_k5/query_cmdrels_weight_analyze/0.1_0.2_0.7/au_740805.xlsx","au_740805")</f>
        <v>au_740805</v>
      </c>
      <c r="B189">
        <v>0.25</v>
      </c>
      <c r="C189">
        <v>0</v>
      </c>
      <c r="D189">
        <v>0.41666666666666657</v>
      </c>
      <c r="E189">
        <v>0.29166666666666657</v>
      </c>
      <c r="F189">
        <v>0.41666666666666657</v>
      </c>
      <c r="G189">
        <v>0.29166666666666657</v>
      </c>
    </row>
    <row r="190" spans="1:7" x14ac:dyDescent="0.15">
      <c r="A190" t="str">
        <f>HYPERLINK("./new_k5/query_cmdrels_weight_analyze/0.1_0.2_0.7/au_760796.xlsx","au_760796")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HYPERLINK("./new_k5/query_cmdrels_weight_analyze/0.1_0.2_0.7/au_762846.xlsx","au_762846")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0.43333333333333329</v>
      </c>
    </row>
    <row r="192" spans="1:7" x14ac:dyDescent="0.15">
      <c r="A192" t="str">
        <f>HYPERLINK("./new_k5/query_cmdrels_weight_analyze/0.1_0.2_0.7/au_767786.xlsx","au_767786")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0.6</v>
      </c>
    </row>
    <row r="193" spans="1:7" x14ac:dyDescent="0.15">
      <c r="A193" t="str">
        <f>HYPERLINK("./new_k5/query_cmdrels_weight_analyze/0.1_0.2_0.7/au_778906.xlsx","au_778906")</f>
        <v>au_778906</v>
      </c>
      <c r="B193">
        <v>0.2</v>
      </c>
      <c r="C193">
        <v>0.2</v>
      </c>
      <c r="D193">
        <v>0.33333333333333331</v>
      </c>
      <c r="E193">
        <v>0.33333333333333331</v>
      </c>
      <c r="F193">
        <v>0.33333333333333331</v>
      </c>
      <c r="G193">
        <v>0.48333333333333328</v>
      </c>
    </row>
    <row r="194" spans="1:7" x14ac:dyDescent="0.15">
      <c r="A194" t="str">
        <f>HYPERLINK("./new_k5/query_cmdrels_weight_analyze/0.1_0.2_0.7/au_818929.xlsx","au_818929")</f>
        <v>au_818929</v>
      </c>
      <c r="B194">
        <v>0</v>
      </c>
      <c r="C194">
        <v>0.2</v>
      </c>
      <c r="D194">
        <v>0</v>
      </c>
      <c r="E194">
        <v>0.4</v>
      </c>
      <c r="F194">
        <v>0</v>
      </c>
      <c r="G194">
        <v>0.55000000000000004</v>
      </c>
    </row>
    <row r="195" spans="1:7" x14ac:dyDescent="0.15">
      <c r="A195" t="str">
        <f>HYPERLINK("./new_k5/query_cmdrels_weight_analyze/0.1_0.2_0.7/au_844876.xlsx","au_844876")</f>
        <v>au_844876</v>
      </c>
      <c r="B195">
        <v>0.5</v>
      </c>
      <c r="C195">
        <v>0.5</v>
      </c>
      <c r="D195">
        <v>0.5</v>
      </c>
      <c r="E195">
        <v>0.5</v>
      </c>
      <c r="F195">
        <v>0.5</v>
      </c>
      <c r="G195">
        <v>0.75</v>
      </c>
    </row>
    <row r="196" spans="1:7" x14ac:dyDescent="0.15">
      <c r="A196" t="str">
        <f>HYPERLINK("./new_k5/query_cmdrels_weight_analyze/0.1_0.2_0.7/au_85318.xlsx","au_85318")</f>
        <v>au_85318</v>
      </c>
      <c r="B196">
        <v>0.2</v>
      </c>
      <c r="C196">
        <v>0.2</v>
      </c>
      <c r="D196">
        <v>0.6</v>
      </c>
      <c r="E196">
        <v>0.6</v>
      </c>
      <c r="F196">
        <v>0.6</v>
      </c>
      <c r="G196">
        <v>0.6</v>
      </c>
    </row>
    <row r="197" spans="1:7" x14ac:dyDescent="0.15">
      <c r="A197" t="str">
        <f>HYPERLINK("./new_k5/query_cmdrels_weight_analyze/0.1_0.2_0.7/au_854332.xlsx","au_854332")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HYPERLINK("./new_k5/query_cmdrels_weight_analyze/0.1_0.2_0.7/au_854373.xlsx","au_854373")</f>
        <v>au_854373</v>
      </c>
      <c r="B198">
        <v>0.33333333333333331</v>
      </c>
      <c r="C198">
        <v>0</v>
      </c>
      <c r="D198">
        <v>0.55555555555555547</v>
      </c>
      <c r="E198">
        <v>0.38888888888888878</v>
      </c>
      <c r="F198">
        <v>0.80555555555555547</v>
      </c>
      <c r="G198">
        <v>0.38888888888888878</v>
      </c>
    </row>
    <row r="199" spans="1:7" x14ac:dyDescent="0.15">
      <c r="A199" t="str">
        <f>HYPERLINK("./new_k5/query_cmdrels_weight_analyze/0.1_0.2_0.7/au_86843.xlsx","au_86843")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0.05</v>
      </c>
    </row>
    <row r="200" spans="1:7" x14ac:dyDescent="0.15">
      <c r="A200" t="str">
        <f>HYPERLINK("./new_k5/query_cmdrels_weight_analyze/0.1_0.2_0.7/au_88108.xlsx","au_88108")</f>
        <v>au_88108</v>
      </c>
      <c r="B200">
        <v>0</v>
      </c>
      <c r="C200">
        <v>0</v>
      </c>
      <c r="D200">
        <v>0.1</v>
      </c>
      <c r="E200">
        <v>0</v>
      </c>
      <c r="F200">
        <v>0.1</v>
      </c>
      <c r="G200">
        <v>0.04</v>
      </c>
    </row>
    <row r="201" spans="1:7" x14ac:dyDescent="0.15">
      <c r="A201" t="str">
        <f>HYPERLINK("./new_k5/query_cmdrels_weight_analyze/0.1_0.2_0.7/au_90214.xlsx","au_90214")</f>
        <v>au_90214</v>
      </c>
      <c r="B201">
        <v>0</v>
      </c>
      <c r="C201">
        <v>0</v>
      </c>
      <c r="D201">
        <v>0.16666666666666671</v>
      </c>
      <c r="E201">
        <v>0.38888888888888878</v>
      </c>
      <c r="F201">
        <v>0.16666666666666671</v>
      </c>
      <c r="G201">
        <v>0.38888888888888878</v>
      </c>
    </row>
    <row r="202" spans="1:7" x14ac:dyDescent="0.15">
      <c r="A202" t="str">
        <f>HYPERLINK("./new_k5/query_cmdrels_weight_analyze/0.1_0.2_0.7/au_90339.xlsx","au_90339")</f>
        <v>au_90339</v>
      </c>
      <c r="B202">
        <v>0</v>
      </c>
      <c r="C202">
        <v>0</v>
      </c>
      <c r="D202">
        <v>4.7619047619047623E-2</v>
      </c>
      <c r="E202">
        <v>0.16666666666666671</v>
      </c>
      <c r="F202">
        <v>0.2047619047619047</v>
      </c>
      <c r="G202">
        <v>0.16666666666666671</v>
      </c>
    </row>
    <row r="203" spans="1:7" x14ac:dyDescent="0.15">
      <c r="A203" t="str">
        <f>HYPERLINK("./new_k5/query_cmdrels_weight_analyze/0.1_0.2_0.7/au_91286.xlsx","au_91286")</f>
        <v>au_91286</v>
      </c>
      <c r="B203">
        <v>0.5</v>
      </c>
      <c r="C203">
        <v>0.5</v>
      </c>
      <c r="D203">
        <v>0.5</v>
      </c>
      <c r="E203">
        <v>0.5</v>
      </c>
      <c r="F203">
        <v>0.5</v>
      </c>
      <c r="G203">
        <v>0.5</v>
      </c>
    </row>
    <row r="204" spans="1:7" x14ac:dyDescent="0.15">
      <c r="A204" t="str">
        <f>HYPERLINK("./new_k5/query_cmdrels_weight_analyze/0.1_0.2_0.7/au_9135.xlsx","au_9135")</f>
        <v>au_9135</v>
      </c>
      <c r="B204">
        <v>0.1</v>
      </c>
      <c r="C204">
        <v>0.1</v>
      </c>
      <c r="D204">
        <v>0.16666666666666671</v>
      </c>
      <c r="E204">
        <v>0.16666666666666671</v>
      </c>
      <c r="F204">
        <v>0.24166666666666661</v>
      </c>
      <c r="G204">
        <v>0.22666666666666671</v>
      </c>
    </row>
    <row r="205" spans="1:7" x14ac:dyDescent="0.15">
      <c r="A205" t="str">
        <f>HYPERLINK("./new_k5/query_cmdrels_weight_analyze/0.1_0.2_0.7/au_935569.xlsx","au_935569")</f>
        <v>au_935569</v>
      </c>
      <c r="B205">
        <v>0.14285714285714279</v>
      </c>
      <c r="C205">
        <v>0.14285714285714279</v>
      </c>
      <c r="D205">
        <v>0.42857142857142849</v>
      </c>
      <c r="E205">
        <v>0.2857142857142857</v>
      </c>
      <c r="F205">
        <v>0.54285714285714282</v>
      </c>
      <c r="G205">
        <v>0.2857142857142857</v>
      </c>
    </row>
    <row r="206" spans="1:7" x14ac:dyDescent="0.15">
      <c r="A206" t="str">
        <f>HYPERLINK("./new_k5/query_cmdrels_weight_analyze/0.1_0.2_0.7/au_97936.xlsx","au_97936")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HYPERLINK("./new_k5/query_cmdrels_weight_analyze/0.1_0.2_0.7/so_10235778.xlsx","so_10235778")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HYPERLINK("./new_k5/query_cmdrels_weight_analyze/0.1_0.2_0.7/so_1045910.xlsx","so_1045910")</f>
        <v>so_1045910</v>
      </c>
      <c r="B208">
        <v>0.25</v>
      </c>
      <c r="C208">
        <v>0.25</v>
      </c>
      <c r="D208">
        <v>0.25</v>
      </c>
      <c r="E208">
        <v>0.5</v>
      </c>
      <c r="F208">
        <v>0.25</v>
      </c>
      <c r="G208">
        <v>0.5</v>
      </c>
    </row>
    <row r="209" spans="1:7" x14ac:dyDescent="0.15">
      <c r="A209" t="str">
        <f>HYPERLINK("./new_k5/query_cmdrels_weight_analyze/0.1_0.2_0.7/so_10557360.xlsx","so_10557360")</f>
        <v>so_10557360</v>
      </c>
      <c r="B209">
        <v>0</v>
      </c>
      <c r="C209">
        <v>0</v>
      </c>
      <c r="D209">
        <v>0</v>
      </c>
      <c r="E209">
        <v>0.1</v>
      </c>
      <c r="F209">
        <v>0</v>
      </c>
      <c r="G209">
        <v>0.1</v>
      </c>
    </row>
    <row r="210" spans="1:7" x14ac:dyDescent="0.15">
      <c r="A210" t="str">
        <f>HYPERLINK("./new_k5/query_cmdrels_weight_analyze/0.1_0.2_0.7/so_1058047.xlsx","so_1058047")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0.35</v>
      </c>
    </row>
    <row r="211" spans="1:7" x14ac:dyDescent="0.15">
      <c r="A211" t="str">
        <f>HYPERLINK("./new_k5/query_cmdrels_weight_analyze/0.1_0.2_0.7/so_10829402.xlsx","so_10829402")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HYPERLINK("./new_k5/query_cmdrels_weight_analyze/0.1_0.2_0.7/so_1088098.xlsx","so_1088098")</f>
        <v>so_1088098</v>
      </c>
      <c r="B212">
        <v>0</v>
      </c>
      <c r="C212">
        <v>0</v>
      </c>
      <c r="D212">
        <v>0.125</v>
      </c>
      <c r="E212">
        <v>0.125</v>
      </c>
      <c r="F212">
        <v>0.125</v>
      </c>
      <c r="G212">
        <v>0.125</v>
      </c>
    </row>
    <row r="213" spans="1:7" x14ac:dyDescent="0.15">
      <c r="A213" t="str">
        <f>HYPERLINK("./new_k5/query_cmdrels_weight_analyze/0.1_0.2_0.7/so_10990949.xlsx","so_10990949")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0.75</v>
      </c>
    </row>
    <row r="214" spans="1:7" x14ac:dyDescent="0.15">
      <c r="A214" t="str">
        <f>HYPERLINK("./new_k5/query_cmdrels_weight_analyze/0.1_0.2_0.7/so_11211705.xlsx","so_11211705")</f>
        <v>so_11211705</v>
      </c>
      <c r="B214">
        <v>0</v>
      </c>
      <c r="C214">
        <v>0.25</v>
      </c>
      <c r="D214">
        <v>0</v>
      </c>
      <c r="E214">
        <v>0.41666666666666657</v>
      </c>
      <c r="F214">
        <v>0.05</v>
      </c>
      <c r="G214">
        <v>0.41666666666666657</v>
      </c>
    </row>
    <row r="215" spans="1:7" x14ac:dyDescent="0.15">
      <c r="A215" t="str">
        <f>HYPERLINK("./new_k5/query_cmdrels_weight_analyze/0.1_0.2_0.7/so_112932.xlsx","so_112932")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HYPERLINK("./new_k5/query_cmdrels_weight_analyze/0.1_0.2_0.7/so_11392189.xlsx","so_11392189")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8.3333333333333329E-2</v>
      </c>
    </row>
    <row r="217" spans="1:7" x14ac:dyDescent="0.15">
      <c r="A217" t="str">
        <f>HYPERLINK("./new_k5/query_cmdrels_weight_analyze/0.1_0.2_0.7/so_1183183.xlsx","so_1183183")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HYPERLINK("./new_k5/query_cmdrels_weight_analyze/0.1_0.2_0.7/so_1194882.xlsx","so_1194882")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HYPERLINK("./new_k5/query_cmdrels_weight_analyze/0.1_0.2_0.7/so_12120935.xlsx","so_12120935")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HYPERLINK("./new_k5/query_cmdrels_weight_analyze/0.1_0.2_0.7/so_12313384.xlsx","so_12313384")</f>
        <v>so_12313384</v>
      </c>
      <c r="B220">
        <v>0</v>
      </c>
      <c r="C220">
        <v>0</v>
      </c>
      <c r="D220">
        <v>0.16666666666666671</v>
      </c>
      <c r="E220">
        <v>0.16666666666666671</v>
      </c>
      <c r="F220">
        <v>0.16666666666666671</v>
      </c>
      <c r="G220">
        <v>0.33333333333333331</v>
      </c>
    </row>
    <row r="221" spans="1:7" x14ac:dyDescent="0.15">
      <c r="A221" t="str">
        <f>HYPERLINK("./new_k5/query_cmdrels_weight_analyze/0.1_0.2_0.7/so_12392598.xlsx","so_12392598")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HYPERLINK("./new_k5/query_cmdrels_weight_analyze/0.1_0.2_0.7/so_1241801.xlsx","so_1241801")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HYPERLINK("./new_k5/query_cmdrels_weight_analyze/0.1_0.2_0.7/so_12522269.xlsx","so_12522269")</f>
        <v>so_12522269</v>
      </c>
      <c r="B223">
        <v>0.2</v>
      </c>
      <c r="C223">
        <v>0</v>
      </c>
      <c r="D223">
        <v>0.2</v>
      </c>
      <c r="E223">
        <v>0.23333333333333331</v>
      </c>
      <c r="F223">
        <v>0.28000000000000003</v>
      </c>
      <c r="G223">
        <v>0.23333333333333331</v>
      </c>
    </row>
    <row r="224" spans="1:7" x14ac:dyDescent="0.15">
      <c r="A224" t="str">
        <f>HYPERLINK("./new_k5/query_cmdrels_weight_analyze/0.1_0.2_0.7/so_1293907.xlsx","so_1293907")</f>
        <v>so_1293907</v>
      </c>
      <c r="B224">
        <v>0</v>
      </c>
      <c r="C224">
        <v>0.33333333333333331</v>
      </c>
      <c r="D224">
        <v>0</v>
      </c>
      <c r="E224">
        <v>0.55555555555555547</v>
      </c>
      <c r="F224">
        <v>8.3333333333333329E-2</v>
      </c>
      <c r="G224">
        <v>0.80555555555555547</v>
      </c>
    </row>
    <row r="225" spans="1:7" x14ac:dyDescent="0.15">
      <c r="A225" t="str">
        <f>HYPERLINK("./new_k5/query_cmdrels_weight_analyze/0.1_0.2_0.7/so_13428910.xlsx","so_13428910")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HYPERLINK("./new_k5/query_cmdrels_weight_analyze/0.1_0.2_0.7/so_135688.xlsx","so_135688")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HYPERLINK("./new_k5/query_cmdrels_weight_analyze/0.1_0.2_0.7/so_13778273.xlsx","so_13778273")</f>
        <v>so_13778273</v>
      </c>
      <c r="B227">
        <v>0.25</v>
      </c>
      <c r="C227">
        <v>0.25</v>
      </c>
      <c r="D227">
        <v>0.25</v>
      </c>
      <c r="E227">
        <v>0.25</v>
      </c>
      <c r="F227">
        <v>0.25</v>
      </c>
      <c r="G227">
        <v>0.35</v>
      </c>
    </row>
    <row r="228" spans="1:7" x14ac:dyDescent="0.15">
      <c r="A228" t="str">
        <f>HYPERLINK("./new_k5/query_cmdrels_weight_analyze/0.1_0.2_0.7/so_1405611.xlsx","so_1405611")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</v>
      </c>
      <c r="F228">
        <v>0.33333333333333331</v>
      </c>
      <c r="G228">
        <v>8.3333333333333329E-2</v>
      </c>
    </row>
    <row r="229" spans="1:7" x14ac:dyDescent="0.15">
      <c r="A229" t="str">
        <f>HYPERLINK("./new_k5/query_cmdrels_weight_analyze/0.1_0.2_0.7/so_14300794.xlsx","so_14300794")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0.66666666666666663</v>
      </c>
    </row>
    <row r="230" spans="1:7" x14ac:dyDescent="0.15">
      <c r="A230" t="str">
        <f>HYPERLINK("./new_k5/query_cmdrels_weight_analyze/0.1_0.2_0.7/so_143791.xlsx","so_143791")</f>
        <v>so_143791</v>
      </c>
      <c r="B230">
        <v>0.125</v>
      </c>
      <c r="C230">
        <v>0.125</v>
      </c>
      <c r="D230">
        <v>0.375</v>
      </c>
      <c r="E230">
        <v>0.375</v>
      </c>
      <c r="F230">
        <v>0.375</v>
      </c>
      <c r="G230">
        <v>0.5</v>
      </c>
    </row>
    <row r="231" spans="1:7" x14ac:dyDescent="0.15">
      <c r="A231" t="str">
        <f>HYPERLINK("./new_k5/query_cmdrels_weight_analyze/0.1_0.2_0.7/so_14750650.xlsx","so_14750650")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6.25E-2</v>
      </c>
    </row>
    <row r="232" spans="1:7" x14ac:dyDescent="0.15">
      <c r="A232" t="str">
        <f>HYPERLINK("./new_k5/query_cmdrels_weight_analyze/0.1_0.2_0.7/so_14978411.xlsx","so_14978411")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HYPERLINK("./new_k5/query_cmdrels_weight_analyze/0.1_0.2_0.7/so_15236308.xlsx","so_15236308")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HYPERLINK("./new_k5/query_cmdrels_weight_analyze/0.1_0.2_0.7/so_15286947.xlsx","so_15286947")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HYPERLINK("./new_k5/query_cmdrels_weight_analyze/0.1_0.2_0.7/so_15402770.xlsx","so_15402770")</f>
        <v>so_15402770</v>
      </c>
      <c r="B235">
        <v>0</v>
      </c>
      <c r="C235">
        <v>0</v>
      </c>
      <c r="D235">
        <v>0.19444444444444439</v>
      </c>
      <c r="E235">
        <v>0.19444444444444439</v>
      </c>
      <c r="F235">
        <v>0.19444444444444439</v>
      </c>
      <c r="G235">
        <v>0.31944444444444442</v>
      </c>
    </row>
    <row r="236" spans="1:7" x14ac:dyDescent="0.15">
      <c r="A236" t="str">
        <f>HYPERLINK("./new_k5/query_cmdrels_weight_analyze/0.1_0.2_0.7/so_1570262.xlsx","so_1570262")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0.05</v>
      </c>
    </row>
    <row r="237" spans="1:7" x14ac:dyDescent="0.15">
      <c r="A237" t="str">
        <f>HYPERLINK("./new_k5/query_cmdrels_weight_analyze/0.1_0.2_0.7/so_1583219.xlsx","so_1583219")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HYPERLINK("./new_k5/query_cmdrels_weight_analyze/0.1_0.2_0.7/so_15872543.xlsx","so_15872543")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HYPERLINK("./new_k5/query_cmdrels_weight_analyze/0.1_0.2_0.7/so_16038087.xlsx","so_16038087")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0.5714285714285714</v>
      </c>
    </row>
    <row r="240" spans="1:7" x14ac:dyDescent="0.15">
      <c r="A240" t="str">
        <f>HYPERLINK("./new_k5/query_cmdrels_weight_analyze/0.1_0.2_0.7/so_16212656.xlsx","so_16212656")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0.3</v>
      </c>
    </row>
    <row r="241" spans="1:7" x14ac:dyDescent="0.15">
      <c r="A241" t="str">
        <f>HYPERLINK("./new_k5/query_cmdrels_weight_analyze/0.1_0.2_0.7/so_16575419.xlsx","so_16575419")</f>
        <v>so_16575419</v>
      </c>
      <c r="B241">
        <v>0.25</v>
      </c>
      <c r="C241">
        <v>0.25</v>
      </c>
      <c r="D241">
        <v>0.25</v>
      </c>
      <c r="E241">
        <v>0.5</v>
      </c>
      <c r="F241">
        <v>0.25</v>
      </c>
      <c r="G241">
        <v>0.5</v>
      </c>
    </row>
    <row r="242" spans="1:7" x14ac:dyDescent="0.15">
      <c r="A242" t="str">
        <f>HYPERLINK("./new_k5/query_cmdrels_weight_analyze/0.1_0.2_0.7/so_17582768.xlsx","so_17582768")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0</v>
      </c>
    </row>
    <row r="243" spans="1:7" x14ac:dyDescent="0.15">
      <c r="A243" t="str">
        <f>HYPERLINK("./new_k5/query_cmdrels_weight_analyze/0.1_0.2_0.7/so_17607612.xlsx","so_17607612")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HYPERLINK("./new_k5/query_cmdrels_weight_analyze/0.1_0.2_0.7/so_17829785.xlsx","so_17829785")</f>
        <v>so_17829785</v>
      </c>
      <c r="B244">
        <v>0.25</v>
      </c>
      <c r="C244">
        <v>0</v>
      </c>
      <c r="D244">
        <v>0.25</v>
      </c>
      <c r="E244">
        <v>0.29166666666666657</v>
      </c>
      <c r="F244">
        <v>0.25</v>
      </c>
      <c r="G244">
        <v>0.29166666666666657</v>
      </c>
    </row>
    <row r="245" spans="1:7" x14ac:dyDescent="0.15">
      <c r="A245" t="str">
        <f>HYPERLINK("./new_k5/query_cmdrels_weight_analyze/0.1_0.2_0.7/so_1839841.xlsx","so_1839841")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HYPERLINK("./new_k5/query_cmdrels_weight_analyze/0.1_0.2_0.7/so_18468716.xlsx","so_18468716")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0.33333333333333331</v>
      </c>
    </row>
    <row r="247" spans="1:7" x14ac:dyDescent="0.15">
      <c r="A247" t="str">
        <f>HYPERLINK("./new_k5/query_cmdrels_weight_analyze/0.1_0.2_0.7/so_19196105.xlsx","so_19196105")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HYPERLINK("./new_k5/query_cmdrels_weight_analyze/0.1_0.2_0.7/so_19482123.xlsx","so_19482123")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HYPERLINK("./new_k5/query_cmdrels_weight_analyze/0.1_0.2_0.7/so_1975849.xlsx","so_1975849")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HYPERLINK("./new_k5/query_cmdrels_weight_analyze/0.1_0.2_0.7/so_212528.xlsx","so_212528")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0.43333333333333329</v>
      </c>
    </row>
    <row r="251" spans="1:7" x14ac:dyDescent="0.15">
      <c r="A251" t="str">
        <f>HYPERLINK("./new_k5/query_cmdrels_weight_analyze/0.1_0.2_0.7/so_21620406.xlsx","so_21620406")</f>
        <v>so_21620406</v>
      </c>
      <c r="B251">
        <v>0</v>
      </c>
      <c r="C251">
        <v>0</v>
      </c>
      <c r="D251">
        <v>0.1111111111111111</v>
      </c>
      <c r="E251">
        <v>0.16666666666666671</v>
      </c>
      <c r="F251">
        <v>0.1111111111111111</v>
      </c>
      <c r="G251">
        <v>0.16666666666666671</v>
      </c>
    </row>
    <row r="252" spans="1:7" x14ac:dyDescent="0.15">
      <c r="A252" t="str">
        <f>HYPERLINK("./new_k5/query_cmdrels_weight_analyze/0.1_0.2_0.7/so_23509348.xlsx","so_23509348")</f>
        <v>so_23509348</v>
      </c>
      <c r="B252">
        <v>0</v>
      </c>
      <c r="C252">
        <v>0.25</v>
      </c>
      <c r="D252">
        <v>0</v>
      </c>
      <c r="E252">
        <v>0.41666666666666657</v>
      </c>
      <c r="F252">
        <v>0</v>
      </c>
      <c r="G252">
        <v>0.41666666666666657</v>
      </c>
    </row>
    <row r="253" spans="1:7" x14ac:dyDescent="0.15">
      <c r="A253" t="str">
        <f>HYPERLINK("./new_k5/query_cmdrels_weight_analyze/0.1_0.2_0.7/so_24058544.xlsx","so_24058544")</f>
        <v>so_24058544</v>
      </c>
      <c r="B253">
        <v>0.2</v>
      </c>
      <c r="C253">
        <v>0</v>
      </c>
      <c r="D253">
        <v>0.2</v>
      </c>
      <c r="E253">
        <v>6.6666666666666666E-2</v>
      </c>
      <c r="F253">
        <v>0.2</v>
      </c>
      <c r="G253">
        <v>6.6666666666666666E-2</v>
      </c>
    </row>
    <row r="254" spans="1:7" x14ac:dyDescent="0.15">
      <c r="A254" t="str">
        <f>HYPERLINK("./new_k5/query_cmdrels_weight_analyze/0.1_0.2_0.7/so_24283097.xlsx","so_24283097")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HYPERLINK("./new_k5/query_cmdrels_weight_analyze/0.1_0.2_0.7/so_26256279.xlsx","so_26256279")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HYPERLINK("./new_k5/query_cmdrels_weight_analyze/0.1_0.2_0.7/so_26331651.xlsx","so_26331651")</f>
        <v>so_26331651</v>
      </c>
      <c r="B256">
        <v>0</v>
      </c>
      <c r="C256">
        <v>0</v>
      </c>
      <c r="D256">
        <v>0</v>
      </c>
      <c r="E256">
        <v>7.1428571428571425E-2</v>
      </c>
      <c r="F256">
        <v>0</v>
      </c>
      <c r="G256">
        <v>0.12857142857142859</v>
      </c>
    </row>
    <row r="257" spans="1:7" x14ac:dyDescent="0.15">
      <c r="A257" t="str">
        <f>HYPERLINK("./new_k5/query_cmdrels_weight_analyze/0.1_0.2_0.7/so_26988262.xlsx","so_26988262")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HYPERLINK("./new_k5/query_cmdrels_weight_analyze/0.1_0.2_0.7/so_27238411.xlsx","so_27238411")</f>
        <v>so_27238411</v>
      </c>
      <c r="B258">
        <v>0.2</v>
      </c>
      <c r="C258">
        <v>0.2</v>
      </c>
      <c r="D258">
        <v>0.6</v>
      </c>
      <c r="E258">
        <v>0.33333333333333331</v>
      </c>
      <c r="F258">
        <v>0.6</v>
      </c>
      <c r="G258">
        <v>0.48333333333333328</v>
      </c>
    </row>
    <row r="259" spans="1:7" x14ac:dyDescent="0.15">
      <c r="A259" t="str">
        <f>HYPERLINK("./new_k5/query_cmdrels_weight_analyze/0.1_0.2_0.7/so_27943059.xlsx","so_27943059")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0.55555555555555547</v>
      </c>
      <c r="F259">
        <v>0.16666666666666671</v>
      </c>
      <c r="G259">
        <v>0.55555555555555547</v>
      </c>
    </row>
    <row r="260" spans="1:7" x14ac:dyDescent="0.15">
      <c r="A260" t="str">
        <f>HYPERLINK("./new_k5/query_cmdrels_weight_analyze/0.1_0.2_0.7/so_28869004.xlsx","so_28869004")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HYPERLINK("./new_k5/query_cmdrels_weight_analyze/0.1_0.2_0.7/so_2973624.xlsx","so_2973624")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0.66666666666666663</v>
      </c>
      <c r="F261">
        <v>0.66666666666666663</v>
      </c>
      <c r="G261">
        <v>0.91666666666666663</v>
      </c>
    </row>
    <row r="262" spans="1:7" x14ac:dyDescent="0.15">
      <c r="A262" t="str">
        <f>HYPERLINK("./new_k5/query_cmdrels_weight_analyze/0.1_0.2_0.7/so_30177455.xlsx","so_30177455")</f>
        <v>so_30177455</v>
      </c>
      <c r="B262">
        <v>0</v>
      </c>
      <c r="C262">
        <v>0</v>
      </c>
      <c r="D262">
        <v>0.16666666666666671</v>
      </c>
      <c r="E262">
        <v>0.1111111111111111</v>
      </c>
      <c r="F262">
        <v>0.16666666666666671</v>
      </c>
      <c r="G262">
        <v>0.1111111111111111</v>
      </c>
    </row>
    <row r="263" spans="1:7" x14ac:dyDescent="0.15">
      <c r="A263" t="str">
        <f>HYPERLINK("./new_k5/query_cmdrels_weight_analyze/0.1_0.2_0.7/so_30251889.xlsx","so_30251889")</f>
        <v>so_30251889</v>
      </c>
      <c r="B263">
        <v>0</v>
      </c>
      <c r="C263">
        <v>0.25</v>
      </c>
      <c r="D263">
        <v>0.125</v>
      </c>
      <c r="E263">
        <v>0.75</v>
      </c>
      <c r="F263">
        <v>0.22500000000000001</v>
      </c>
      <c r="G263">
        <v>1</v>
      </c>
    </row>
    <row r="264" spans="1:7" x14ac:dyDescent="0.15">
      <c r="A264" t="str">
        <f>HYPERLINK("./new_k5/query_cmdrels_weight_analyze/0.1_0.2_0.7/so_305035.xlsx","so_305035")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HYPERLINK("./new_k5/query_cmdrels_weight_analyze/0.1_0.2_0.7/so_36249744.xlsx","so_36249744")</f>
        <v>so_36249744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</row>
    <row r="266" spans="1:7" x14ac:dyDescent="0.15">
      <c r="A266" t="str">
        <f>HYPERLINK("./new_k5/query_cmdrels_weight_analyze/0.1_0.2_0.7/so_3643848.xlsx","so_3643848")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HYPERLINK("./new_k5/query_cmdrels_weight_analyze/0.1_0.2_0.7/so_3667329.xlsx","so_3667329")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0.33333333333333331</v>
      </c>
    </row>
    <row r="268" spans="1:7" x14ac:dyDescent="0.15">
      <c r="A268" t="str">
        <f>HYPERLINK("./new_k5/query_cmdrels_weight_analyze/0.1_0.2_0.7/so_369758.xlsx","so_369758")</f>
        <v>so_369758</v>
      </c>
      <c r="B268">
        <v>0.2</v>
      </c>
      <c r="C268">
        <v>0.2</v>
      </c>
      <c r="D268">
        <v>0.4</v>
      </c>
      <c r="E268">
        <v>0.6</v>
      </c>
      <c r="F268">
        <v>0.4</v>
      </c>
      <c r="G268">
        <v>0.6</v>
      </c>
    </row>
    <row r="269" spans="1:7" x14ac:dyDescent="0.15">
      <c r="A269" t="str">
        <f>HYPERLINK("./new_k5/query_cmdrels_weight_analyze/0.1_0.2_0.7/so_3756323.xlsx","so_3756323")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0.75</v>
      </c>
    </row>
    <row r="270" spans="1:7" x14ac:dyDescent="0.15">
      <c r="A270" t="str">
        <f>HYPERLINK("./new_k5/query_cmdrels_weight_analyze/0.1_0.2_0.7/so_3767267.xlsx","so_3767267")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HYPERLINK("./new_k5/query_cmdrels_weight_analyze/0.1_0.2_0.7/so_3833578.xlsx","so_3833578")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0.55555555555555547</v>
      </c>
      <c r="F271">
        <v>0.33333333333333331</v>
      </c>
      <c r="G271">
        <v>0.55555555555555547</v>
      </c>
    </row>
    <row r="272" spans="1:7" x14ac:dyDescent="0.15">
      <c r="A272" t="str">
        <f>HYPERLINK("./new_k5/query_cmdrels_weight_analyze/0.1_0.2_0.7/so_3891076.xlsx","so_3891076")</f>
        <v>so_3891076</v>
      </c>
      <c r="B272">
        <v>0.25</v>
      </c>
      <c r="C272">
        <v>0</v>
      </c>
      <c r="D272">
        <v>0.25</v>
      </c>
      <c r="E272">
        <v>8.3333333333333329E-2</v>
      </c>
      <c r="F272">
        <v>0.25</v>
      </c>
      <c r="G272">
        <v>0.20833333333333329</v>
      </c>
    </row>
    <row r="273" spans="1:7" x14ac:dyDescent="0.15">
      <c r="A273" t="str">
        <f>HYPERLINK("./new_k5/query_cmdrels_weight_analyze/0.1_0.2_0.7/so_3963085.xlsx","so_3963085")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HYPERLINK("./new_k5/query_cmdrels_weight_analyze/0.1_0.2_0.7/so_4325216.xlsx","so_4325216")</f>
        <v>so_4325216</v>
      </c>
      <c r="B274">
        <v>0.5</v>
      </c>
      <c r="C274">
        <v>0.5</v>
      </c>
      <c r="D274">
        <v>0.5</v>
      </c>
      <c r="E274">
        <v>1</v>
      </c>
      <c r="F274">
        <v>0.5</v>
      </c>
      <c r="G274">
        <v>1</v>
      </c>
    </row>
    <row r="275" spans="1:7" x14ac:dyDescent="0.15">
      <c r="A275" t="str">
        <f>HYPERLINK("./new_k5/query_cmdrels_weight_analyze/0.1_0.2_0.7/so_448005.xlsx","so_448005")</f>
        <v>so_448005</v>
      </c>
      <c r="B275">
        <v>1</v>
      </c>
      <c r="C275">
        <v>0</v>
      </c>
      <c r="D275">
        <v>1</v>
      </c>
      <c r="E275">
        <v>0.33333333333333331</v>
      </c>
      <c r="F275">
        <v>1</v>
      </c>
      <c r="G275">
        <v>0.33333333333333331</v>
      </c>
    </row>
    <row r="276" spans="1:7" x14ac:dyDescent="0.15">
      <c r="A276" t="str">
        <f>HYPERLINK("./new_k5/query_cmdrels_weight_analyze/0.1_0.2_0.7/so_4921879.xlsx","so_4921879")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HYPERLINK("./new_k5/query_cmdrels_weight_analyze/0.1_0.2_0.7/so_4922943.xlsx","so_4922943")</f>
        <v>so_4922943</v>
      </c>
      <c r="B277">
        <v>0.2</v>
      </c>
      <c r="C277">
        <v>0</v>
      </c>
      <c r="D277">
        <v>0.33333333333333331</v>
      </c>
      <c r="E277">
        <v>0.1</v>
      </c>
      <c r="F277">
        <v>0.33333333333333331</v>
      </c>
      <c r="G277">
        <v>0.18</v>
      </c>
    </row>
    <row r="278" spans="1:7" x14ac:dyDescent="0.15">
      <c r="A278" t="str">
        <f>HYPERLINK("./new_k5/query_cmdrels_weight_analyze/0.1_0.2_0.7/so_5119946.xlsx","so_5119946")</f>
        <v>so_5119946</v>
      </c>
      <c r="B278">
        <v>0.5</v>
      </c>
      <c r="C278">
        <v>0</v>
      </c>
      <c r="D278">
        <v>0.5</v>
      </c>
      <c r="E278">
        <v>0.16666666666666671</v>
      </c>
      <c r="F278">
        <v>0.5</v>
      </c>
      <c r="G278">
        <v>0.41666666666666657</v>
      </c>
    </row>
    <row r="279" spans="1:7" x14ac:dyDescent="0.15">
      <c r="A279" t="str">
        <f>HYPERLINK("./new_k5/query_cmdrels_weight_analyze/0.1_0.2_0.7/so_5164985.xlsx","so_5164985")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0.33333333333333331</v>
      </c>
    </row>
    <row r="280" spans="1:7" x14ac:dyDescent="0.15">
      <c r="A280" t="str">
        <f>HYPERLINK("./new_k5/query_cmdrels_weight_analyze/0.1_0.2_0.7/so_5306153.xlsx","so_5306153")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HYPERLINK("./new_k5/query_cmdrels_weight_analyze/0.1_0.2_0.7/so_5566310.xlsx","so_5566310")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HYPERLINK("./new_k5/query_cmdrels_weight_analyze/0.1_0.2_0.7/so_5927369.xlsx","so_5927369")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HYPERLINK("./new_k5/query_cmdrels_weight_analyze/0.1_0.2_0.7/so_5947742.xlsx","so_5947742")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HYPERLINK("./new_k5/query_cmdrels_weight_analyze/0.1_0.2_0.7/so_614795.xlsx","so_614795")</f>
        <v>so_614795</v>
      </c>
      <c r="B284">
        <v>0</v>
      </c>
      <c r="C284">
        <v>0</v>
      </c>
      <c r="D284">
        <v>0</v>
      </c>
      <c r="E284">
        <v>0.1111111111111111</v>
      </c>
      <c r="F284">
        <v>0</v>
      </c>
      <c r="G284">
        <v>0.1111111111111111</v>
      </c>
    </row>
    <row r="285" spans="1:7" x14ac:dyDescent="0.15">
      <c r="A285" t="str">
        <f>HYPERLINK("./new_k5/query_cmdrels_weight_analyze/0.1_0.2_0.7/so_6207573.xlsx","so_6207573")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0.42857142857142849</v>
      </c>
      <c r="F285">
        <v>0.37142857142857139</v>
      </c>
      <c r="G285">
        <v>0.54285714285714282</v>
      </c>
    </row>
    <row r="286" spans="1:7" x14ac:dyDescent="0.15">
      <c r="A286" t="str">
        <f>HYPERLINK("./new_k5/query_cmdrels_weight_analyze/0.1_0.2_0.7/so_6283167.xlsx","so_6283167")</f>
        <v>so_6283167</v>
      </c>
      <c r="B286">
        <v>0.25</v>
      </c>
      <c r="C286">
        <v>0</v>
      </c>
      <c r="D286">
        <v>0.25</v>
      </c>
      <c r="E286">
        <v>8.3333333333333329E-2</v>
      </c>
      <c r="F286">
        <v>0.25</v>
      </c>
      <c r="G286">
        <v>0.35833333333333328</v>
      </c>
    </row>
    <row r="287" spans="1:7" x14ac:dyDescent="0.15">
      <c r="A287" t="str">
        <f>HYPERLINK("./new_k5/query_cmdrels_weight_analyze/0.1_0.2_0.7/so_6329505.xlsx","so_6329505")</f>
        <v>so_6329505</v>
      </c>
      <c r="B287">
        <v>0</v>
      </c>
      <c r="C287">
        <v>0.2</v>
      </c>
      <c r="D287">
        <v>0.1</v>
      </c>
      <c r="E287">
        <v>0.2</v>
      </c>
      <c r="F287">
        <v>0.18</v>
      </c>
      <c r="G287">
        <v>0.2</v>
      </c>
    </row>
    <row r="288" spans="1:7" x14ac:dyDescent="0.15">
      <c r="A288" t="str">
        <f>HYPERLINK("./new_k5/query_cmdrels_weight_analyze/0.1_0.2_0.7/so_6423532.xlsx","so_6423532")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HYPERLINK("./new_k5/query_cmdrels_weight_analyze/0.1_0.2_0.7/so_669438.xlsx","so_669438")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0.48333333333333328</v>
      </c>
    </row>
    <row r="290" spans="1:7" x14ac:dyDescent="0.15">
      <c r="A290" t="str">
        <f>HYPERLINK("./new_k5/query_cmdrels_weight_analyze/0.1_0.2_0.7/so_7052875.xlsx","so_7052875")</f>
        <v>so_7052875</v>
      </c>
      <c r="B290">
        <v>0.2</v>
      </c>
      <c r="C290">
        <v>0.2</v>
      </c>
      <c r="D290">
        <v>0.2</v>
      </c>
      <c r="E290">
        <v>0.33333333333333331</v>
      </c>
      <c r="F290">
        <v>0.2</v>
      </c>
      <c r="G290">
        <v>0.33333333333333331</v>
      </c>
    </row>
    <row r="291" spans="1:7" x14ac:dyDescent="0.15">
      <c r="A291" t="str">
        <f>HYPERLINK("./new_k5/query_cmdrels_weight_analyze/0.1_0.2_0.7/so_7221757.xlsx","so_7221757")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HYPERLINK("./new_k5/query_cmdrels_weight_analyze/0.1_0.2_0.7/so_750604.xlsx","so_750604")</f>
        <v>so_750604</v>
      </c>
      <c r="B292">
        <v>0</v>
      </c>
      <c r="C292">
        <v>0</v>
      </c>
      <c r="D292">
        <v>0.1111111111111111</v>
      </c>
      <c r="E292">
        <v>0.1111111111111111</v>
      </c>
      <c r="F292">
        <v>0.1111111111111111</v>
      </c>
      <c r="G292">
        <v>0.1111111111111111</v>
      </c>
    </row>
    <row r="293" spans="1:7" x14ac:dyDescent="0.15">
      <c r="A293" t="str">
        <f>HYPERLINK("./new_k5/query_cmdrels_weight_analyze/0.1_0.2_0.7/so_7575267.xlsx","so_7575267")</f>
        <v>so_7575267</v>
      </c>
      <c r="B293">
        <v>0</v>
      </c>
      <c r="C293">
        <v>0.25</v>
      </c>
      <c r="D293">
        <v>0</v>
      </c>
      <c r="E293">
        <v>0.5</v>
      </c>
      <c r="F293">
        <v>0</v>
      </c>
      <c r="G293">
        <v>0.6875</v>
      </c>
    </row>
    <row r="294" spans="1:7" x14ac:dyDescent="0.15">
      <c r="A294" t="str">
        <f>HYPERLINK("./new_k5/query_cmdrels_weight_analyze/0.1_0.2_0.7/so_7698488.xlsx","so_7698488")</f>
        <v>so_7698488</v>
      </c>
      <c r="B294">
        <v>0</v>
      </c>
      <c r="C294">
        <v>0</v>
      </c>
      <c r="D294">
        <v>0</v>
      </c>
      <c r="E294">
        <v>8.3333333333333329E-2</v>
      </c>
      <c r="F294">
        <v>0</v>
      </c>
      <c r="G294">
        <v>0.18333333333333329</v>
      </c>
    </row>
    <row r="295" spans="1:7" x14ac:dyDescent="0.15">
      <c r="A295" t="str">
        <f>HYPERLINK("./new_k5/query_cmdrels_weight_analyze/0.1_0.2_0.7/so_801095.xlsx","so_801095")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0.55555555555555547</v>
      </c>
      <c r="F295">
        <v>0.33333333333333331</v>
      </c>
      <c r="G295">
        <v>0.55555555555555547</v>
      </c>
    </row>
    <row r="296" spans="1:7" x14ac:dyDescent="0.15">
      <c r="A296" t="str">
        <f>HYPERLINK("./new_k5/query_cmdrels_weight_analyze/0.1_0.2_0.7/so_8249705.xlsx","so_8249705")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HYPERLINK("./new_k5/query_cmdrels_weight_analyze/0.1_0.2_0.7/so_8423541.xlsx","so_8423541")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HYPERLINK("./new_k5/query_cmdrels_weight_analyze/0.1_0.2_0.7/so_8654051.xlsx","so_8654051")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0.65</v>
      </c>
    </row>
    <row r="299" spans="1:7" x14ac:dyDescent="0.15">
      <c r="A299" t="str">
        <f>HYPERLINK("./new_k5/query_cmdrels_weight_analyze/0.1_0.2_0.7/so_890262.xlsx","so_890262")</f>
        <v>so_890262</v>
      </c>
      <c r="B299">
        <v>0</v>
      </c>
      <c r="C299">
        <v>0</v>
      </c>
      <c r="D299">
        <v>0</v>
      </c>
      <c r="E299">
        <v>0.1111111111111111</v>
      </c>
      <c r="F299">
        <v>0</v>
      </c>
      <c r="G299">
        <v>0.1111111111111111</v>
      </c>
    </row>
    <row r="300" spans="1:7" x14ac:dyDescent="0.15">
      <c r="A300" t="str">
        <f>HYPERLINK("./new_k5/query_cmdrels_weight_analyze/0.1_0.2_0.7/so_893585.xlsx","so_893585")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HYPERLINK("./new_k5/query_cmdrels_weight_analyze/0.1_0.2_0.7/so_9223460.xlsx","so_9223460")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</v>
      </c>
    </row>
    <row r="302" spans="1:7" x14ac:dyDescent="0.15">
      <c r="A302" t="str">
        <f>HYPERLINK("./new_k5/query_cmdrels_weight_analyze/0.1_0.2_0.7/so_9245638.xlsx","so_9245638")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0.55555555555555547</v>
      </c>
      <c r="F302">
        <v>0.55555555555555547</v>
      </c>
      <c r="G302">
        <v>0.55555555555555547</v>
      </c>
    </row>
    <row r="303" spans="1:7" x14ac:dyDescent="0.15">
      <c r="A303" t="str">
        <f>HYPERLINK("./new_k5/query_cmdrels_weight_analyze/0.1_0.2_0.7/so_9304953.xlsx","so_9304953")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HYPERLINK("./new_k5/query_cmdrels_weight_analyze/0.1_0.2_0.7/so_9361816.xlsx","so_9361816")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0.25</v>
      </c>
    </row>
    <row r="305" spans="1:7" x14ac:dyDescent="0.15">
      <c r="A305" t="str">
        <f>HYPERLINK("./new_k5/query_cmdrels_weight_analyze/0.1_0.2_0.7/su_116617.xlsx","su_116617")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HYPERLINK("./new_k5/query_cmdrels_weight_analyze/0.1_0.2_0.7/su_120045.xlsx","su_120045")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HYPERLINK("./new_k5/query_cmdrels_weight_analyze/0.1_0.2_0.7/su_127863.xlsx","su_127863")</f>
        <v>su_127863</v>
      </c>
      <c r="B307">
        <v>0</v>
      </c>
      <c r="C307">
        <v>0</v>
      </c>
      <c r="D307">
        <v>0.25</v>
      </c>
      <c r="E307">
        <v>0.16666666666666671</v>
      </c>
      <c r="F307">
        <v>0.25</v>
      </c>
      <c r="G307">
        <v>0.16666666666666671</v>
      </c>
    </row>
    <row r="308" spans="1:7" x14ac:dyDescent="0.15">
      <c r="A308" t="str">
        <f>HYPERLINK("./new_k5/query_cmdrels_weight_analyze/0.1_0.2_0.7/su_135498.xlsx","su_135498")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HYPERLINK("./new_k5/query_cmdrels_weight_analyze/0.1_0.2_0.7/su_147027.xlsx","su_147027")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HYPERLINK("./new_k5/query_cmdrels_weight_analyze/0.1_0.2_0.7/su_151911.xlsx","su_151911")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6.25E-2</v>
      </c>
    </row>
    <row r="311" spans="1:7" x14ac:dyDescent="0.15">
      <c r="A311" t="str">
        <f>HYPERLINK("./new_k5/query_cmdrels_weight_analyze/0.1_0.2_0.7/su_153415.xlsx","su_153415")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HYPERLINK("./new_k5/query_cmdrels_weight_analyze/0.1_0.2_0.7/su_156189.xlsx","su_156189")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0.40277777777777768</v>
      </c>
    </row>
    <row r="313" spans="1:7" x14ac:dyDescent="0.15">
      <c r="A313" t="str">
        <f>HYPERLINK("./new_k5/query_cmdrels_weight_analyze/0.1_0.2_0.7/su_161531.xlsx","su_161531")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HYPERLINK("./new_k5/query_cmdrels_weight_analyze/0.1_0.2_0.7/su_204209.xlsx","su_204209")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HYPERLINK("./new_k5/query_cmdrels_weight_analyze/0.1_0.2_0.7/su_214390.xlsx","su_214390")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HYPERLINK("./new_k5/query_cmdrels_weight_analyze/0.1_0.2_0.7/su_215483.xlsx","su_215483")</f>
        <v>su_215483</v>
      </c>
      <c r="B316">
        <v>0.5</v>
      </c>
      <c r="C316">
        <v>0.5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HYPERLINK("./new_k5/query_cmdrels_weight_analyze/0.1_0.2_0.7/su_215504.xlsx","su_215504")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0.44166666666666671</v>
      </c>
    </row>
    <row r="318" spans="1:7" x14ac:dyDescent="0.15">
      <c r="A318" t="str">
        <f>HYPERLINK("./new_k5/query_cmdrels_weight_analyze/0.1_0.2_0.7/su_227385.xlsx","su_227385")</f>
        <v>su_227385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6.25E-2</v>
      </c>
    </row>
    <row r="319" spans="1:7" x14ac:dyDescent="0.15">
      <c r="A319" t="str">
        <f>HYPERLINK("./new_k5/query_cmdrels_weight_analyze/0.1_0.2_0.7/su_273254.xlsx","su_273254")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HYPERLINK("./new_k5/query_cmdrels_weight_analyze/0.1_0.2_0.7/su_294161.xlsx","su_294161")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HYPERLINK("./new_k5/query_cmdrels_weight_analyze/0.1_0.2_0.7/su_302396.xlsx","su_302396")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HYPERLINK("./new_k5/query_cmdrels_weight_analyze/0.1_0.2_0.7/su_303981.xlsx","su_303981")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0.5</v>
      </c>
      <c r="F322">
        <v>0.5</v>
      </c>
      <c r="G322">
        <v>0.5</v>
      </c>
    </row>
    <row r="323" spans="1:7" x14ac:dyDescent="0.15">
      <c r="A323" t="str">
        <f>HYPERLINK("./new_k5/query_cmdrels_weight_analyze/0.1_0.2_0.7/su_305128.xlsx","su_305128")</f>
        <v>su_305128</v>
      </c>
      <c r="B323">
        <v>0.5</v>
      </c>
      <c r="C323">
        <v>0.5</v>
      </c>
      <c r="D323">
        <v>1</v>
      </c>
      <c r="E323">
        <v>0.83333333333333326</v>
      </c>
      <c r="F323">
        <v>1</v>
      </c>
      <c r="G323">
        <v>0.83333333333333326</v>
      </c>
    </row>
    <row r="324" spans="1:7" x14ac:dyDescent="0.15">
      <c r="A324" t="str">
        <f>HYPERLINK("./new_k5/query_cmdrels_weight_analyze/0.1_0.2_0.7/su_31512.xlsx","su_31512")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HYPERLINK("./new_k5/query_cmdrels_weight_analyze/0.1_0.2_0.7/su_380520.xlsx","su_380520")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</v>
      </c>
    </row>
    <row r="326" spans="1:7" x14ac:dyDescent="0.15">
      <c r="A326" t="str">
        <f>HYPERLINK("./new_k5/query_cmdrels_weight_analyze/0.1_0.2_0.7/su_38981.xlsx","su_38981")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HYPERLINK("./new_k5/query_cmdrels_weight_analyze/0.1_0.2_0.7/su_437330.xlsx","su_437330")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HYPERLINK("./new_k5/query_cmdrels_weight_analyze/0.1_0.2_0.7/su_441379.xlsx","su_441379")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HYPERLINK("./new_k5/query_cmdrels_weight_analyze/0.1_0.2_0.7/su_462788.xlsx","su_462788")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0.22222222222222221</v>
      </c>
      <c r="F329">
        <v>0.30555555555555558</v>
      </c>
      <c r="G329">
        <v>0.30555555555555558</v>
      </c>
    </row>
    <row r="330" spans="1:7" x14ac:dyDescent="0.15">
      <c r="A330" t="str">
        <f>HYPERLINK("./new_k5/query_cmdrels_weight_analyze/0.1_0.2_0.7/su_626606.xlsx","su_626606")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0.66666666666666663</v>
      </c>
    </row>
    <row r="331" spans="1:7" x14ac:dyDescent="0.15">
      <c r="A331" t="str">
        <f>HYPERLINK("./new_k5/query_cmdrels_weight_analyze/0.1_0.2_0.7/su_634469.xlsx","su_634469")</f>
        <v>su_634469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15">
      <c r="A332" t="str">
        <f>HYPERLINK("./new_k5/query_cmdrels_weight_analyze/0.1_0.2_0.7/su_638616.xlsx","su_638616")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HYPERLINK("./new_k5/query_cmdrels_weight_analyze/0.1_0.2_0.7/su_678113.xlsx","su_678113")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HYPERLINK("./new_k5/query_cmdrels_weight_analyze/0.1_0.2_0.7/su_686394.xlsx","su_686394")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HYPERLINK("./new_k5/query_cmdrels_weight_analyze/0.1_0.2_0.7/su_716795.xlsx","su_716795")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0.125</v>
      </c>
    </row>
    <row r="336" spans="1:7" x14ac:dyDescent="0.15">
      <c r="A336" t="str">
        <f>HYPERLINK("./new_k5/query_cmdrels_weight_analyze/0.1_0.2_0.7/su_758463.xlsx","su_758463")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HYPERLINK("./new_k5/query_cmdrels_weight_analyze/0.1_0.2_0.7/su_766437.xlsx","su_766437")</f>
        <v>su_766437</v>
      </c>
      <c r="B337">
        <v>0</v>
      </c>
      <c r="C337">
        <v>0</v>
      </c>
      <c r="D337">
        <v>0</v>
      </c>
      <c r="E337">
        <v>0.1</v>
      </c>
      <c r="F337">
        <v>0.05</v>
      </c>
      <c r="G337">
        <v>0.32</v>
      </c>
    </row>
    <row r="338" spans="1:7" x14ac:dyDescent="0.15">
      <c r="A338" t="str">
        <f>HYPERLINK("./new_k5/query_cmdrels_weight_analyze/0.1_0.2_0.7/su_904001.xlsx","su_904001")</f>
        <v>su_904001</v>
      </c>
      <c r="B338">
        <v>0.5</v>
      </c>
      <c r="C338">
        <v>0.5</v>
      </c>
      <c r="D338">
        <v>0.5</v>
      </c>
      <c r="E338">
        <v>0.83333333333333326</v>
      </c>
      <c r="F338">
        <v>0.5</v>
      </c>
      <c r="G338">
        <v>0.83333333333333326</v>
      </c>
    </row>
    <row r="339" spans="1:7" x14ac:dyDescent="0.15">
      <c r="A339" t="str">
        <f>HYPERLINK("./new_k5/query_cmdrels_weight_analyze/0.1_0.2_0.7/ul_100959.xlsx","ul_100959")</f>
        <v>ul_100959</v>
      </c>
      <c r="B339">
        <v>0</v>
      </c>
      <c r="C339">
        <v>0.5</v>
      </c>
      <c r="D339">
        <v>0.25</v>
      </c>
      <c r="E339">
        <v>0.83333333333333326</v>
      </c>
      <c r="F339">
        <v>0.25</v>
      </c>
      <c r="G339">
        <v>0.83333333333333326</v>
      </c>
    </row>
    <row r="340" spans="1:7" x14ac:dyDescent="0.15">
      <c r="A340" t="str">
        <f>HYPERLINK("./new_k5/query_cmdrels_weight_analyze/0.1_0.2_0.7/ul_101073.xlsx","ul_101073")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HYPERLINK("./new_k5/query_cmdrels_weight_analyze/0.1_0.2_0.7/ul_101237.xlsx","ul_101237")</f>
        <v>ul_101237</v>
      </c>
      <c r="B341">
        <v>0</v>
      </c>
      <c r="C341">
        <v>0</v>
      </c>
      <c r="D341">
        <v>0.25</v>
      </c>
      <c r="E341">
        <v>0</v>
      </c>
      <c r="F341">
        <v>0.25</v>
      </c>
      <c r="G341">
        <v>0.32500000000000001</v>
      </c>
    </row>
    <row r="342" spans="1:7" x14ac:dyDescent="0.15">
      <c r="A342" t="str">
        <f>HYPERLINK("./new_k5/query_cmdrels_weight_analyze/0.1_0.2_0.7/ul_102752.xlsx","ul_102752")</f>
        <v>ul_102752</v>
      </c>
      <c r="B342">
        <v>0</v>
      </c>
      <c r="C342">
        <v>0.25</v>
      </c>
      <c r="D342">
        <v>0.29166666666666657</v>
      </c>
      <c r="E342">
        <v>0.5</v>
      </c>
      <c r="F342">
        <v>0.29166666666666657</v>
      </c>
      <c r="G342">
        <v>0.88749999999999996</v>
      </c>
    </row>
    <row r="343" spans="1:7" x14ac:dyDescent="0.15">
      <c r="A343" t="str">
        <f>HYPERLINK("./new_k5/query_cmdrels_weight_analyze/0.1_0.2_0.7/ul_108174.xlsx","ul_108174")</f>
        <v>ul_108174</v>
      </c>
      <c r="B343">
        <v>0</v>
      </c>
      <c r="C343">
        <v>0</v>
      </c>
      <c r="D343">
        <v>0.16666666666666671</v>
      </c>
      <c r="E343">
        <v>0</v>
      </c>
      <c r="F343">
        <v>0.16666666666666671</v>
      </c>
      <c r="G343">
        <v>8.3333333333333329E-2</v>
      </c>
    </row>
    <row r="344" spans="1:7" x14ac:dyDescent="0.15">
      <c r="A344" t="str">
        <f>HYPERLINK("./new_k5/query_cmdrels_weight_analyze/0.1_0.2_0.7/ul_109536.xlsx","ul_109536")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HYPERLINK("./new_k5/query_cmdrels_weight_analyze/0.1_0.2_0.7/ul_112050.xlsx","ul_112050")</f>
        <v>ul_112050</v>
      </c>
      <c r="B345">
        <v>0</v>
      </c>
      <c r="C345">
        <v>0.25</v>
      </c>
      <c r="D345">
        <v>0.125</v>
      </c>
      <c r="E345">
        <v>0.5</v>
      </c>
      <c r="F345">
        <v>0.125</v>
      </c>
      <c r="G345">
        <v>0.6875</v>
      </c>
    </row>
    <row r="346" spans="1:7" x14ac:dyDescent="0.15">
      <c r="A346" t="str">
        <f>HYPERLINK("./new_k5/query_cmdrels_weight_analyze/0.1_0.2_0.7/ul_116070.xlsx","ul_116070")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0.33333333333333331</v>
      </c>
      <c r="F346">
        <v>0.45833333333333331</v>
      </c>
      <c r="G346">
        <v>0.43333333333333329</v>
      </c>
    </row>
    <row r="347" spans="1:7" x14ac:dyDescent="0.15">
      <c r="A347" t="str">
        <f>HYPERLINK("./new_k5/query_cmdrels_weight_analyze/0.1_0.2_0.7/ul_11851.xlsx","ul_11851")</f>
        <v>ul_11851</v>
      </c>
      <c r="B347">
        <v>0</v>
      </c>
      <c r="C347">
        <v>0</v>
      </c>
      <c r="D347">
        <v>0</v>
      </c>
      <c r="E347">
        <v>0.23333333333333331</v>
      </c>
      <c r="F347">
        <v>0</v>
      </c>
      <c r="G347">
        <v>0.54333333333333333</v>
      </c>
    </row>
    <row r="348" spans="1:7" x14ac:dyDescent="0.15">
      <c r="A348" t="str">
        <f>HYPERLINK("./new_k5/query_cmdrels_weight_analyze/0.1_0.2_0.7/ul_119126.xlsx","ul_119126")</f>
        <v>ul_119126</v>
      </c>
      <c r="B348">
        <v>0</v>
      </c>
      <c r="C348">
        <v>0</v>
      </c>
      <c r="D348">
        <v>0.1</v>
      </c>
      <c r="E348">
        <v>0.23333333333333331</v>
      </c>
      <c r="F348">
        <v>0.18</v>
      </c>
      <c r="G348">
        <v>0.3833333333333333</v>
      </c>
    </row>
    <row r="349" spans="1:7" x14ac:dyDescent="0.15">
      <c r="A349" t="str">
        <f>HYPERLINK("./new_k5/query_cmdrels_weight_analyze/0.1_0.2_0.7/ul_121718.xlsx","ul_121718")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HYPERLINK("./new_k5/query_cmdrels_weight_analyze/0.1_0.2_0.7/ul_12227.xlsx","ul_12227")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HYPERLINK("./new_k5/query_cmdrels_weight_analyze/0.1_0.2_0.7/ul_12453.xlsx","ul_12453")</f>
        <v>ul_12453</v>
      </c>
      <c r="B351">
        <v>0</v>
      </c>
      <c r="C351">
        <v>0</v>
      </c>
      <c r="D351">
        <v>0.125</v>
      </c>
      <c r="E351">
        <v>0.29166666666666657</v>
      </c>
      <c r="F351">
        <v>0.125</v>
      </c>
      <c r="G351">
        <v>0.47916666666666657</v>
      </c>
    </row>
    <row r="352" spans="1:7" x14ac:dyDescent="0.15">
      <c r="A352" t="str">
        <f>HYPERLINK("./new_k5/query_cmdrels_weight_analyze/0.1_0.2_0.7/ul_12535.xlsx","ul_12535")</f>
        <v>ul_12535</v>
      </c>
      <c r="B352">
        <v>0</v>
      </c>
      <c r="C352">
        <v>0</v>
      </c>
      <c r="D352">
        <v>0</v>
      </c>
      <c r="E352">
        <v>0.23333333333333331</v>
      </c>
      <c r="F352">
        <v>0.05</v>
      </c>
      <c r="G352">
        <v>0.23333333333333331</v>
      </c>
    </row>
    <row r="353" spans="1:7" x14ac:dyDescent="0.15">
      <c r="A353" t="str">
        <f>HYPERLINK("./new_k5/query_cmdrels_weight_analyze/0.1_0.2_0.7/ul_127066.xlsx","ul_127066")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0.41666666666666657</v>
      </c>
    </row>
    <row r="354" spans="1:7" x14ac:dyDescent="0.15">
      <c r="A354" t="str">
        <f>HYPERLINK("./new_k5/query_cmdrels_weight_analyze/0.1_0.2_0.7/ul_128953.xlsx","ul_128953")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HYPERLINK("./new_k5/query_cmdrels_weight_analyze/0.1_0.2_0.7/ul_134829.xlsx","ul_134829")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0.33333333333333331</v>
      </c>
      <c r="F355">
        <v>0.33333333333333331</v>
      </c>
      <c r="G355">
        <v>0.43333333333333329</v>
      </c>
    </row>
    <row r="356" spans="1:7" x14ac:dyDescent="0.15">
      <c r="A356" t="str">
        <f>HYPERLINK("./new_k5/query_cmdrels_weight_analyze/0.1_0.2_0.7/ul_136371.xlsx","ul_136371")</f>
        <v>ul_136371</v>
      </c>
      <c r="B356">
        <v>0</v>
      </c>
      <c r="C356">
        <v>0</v>
      </c>
      <c r="D356">
        <v>0</v>
      </c>
      <c r="E356">
        <v>0.16666666666666671</v>
      </c>
      <c r="F356">
        <v>0</v>
      </c>
      <c r="G356">
        <v>0.3</v>
      </c>
    </row>
    <row r="357" spans="1:7" x14ac:dyDescent="0.15">
      <c r="A357" t="str">
        <f>HYPERLINK("./new_k5/query_cmdrels_weight_analyze/0.1_0.2_0.7/ul_136884.xlsx","ul_136884")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HYPERLINK("./new_k5/query_cmdrels_weight_analyze/0.1_0.2_0.7/ul_138398.xlsx","ul_138398")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6.25E-2</v>
      </c>
    </row>
    <row r="359" spans="1:7" x14ac:dyDescent="0.15">
      <c r="A359" t="str">
        <f>HYPERLINK("./new_k5/query_cmdrels_weight_analyze/0.1_0.2_0.7/ul_139271.xlsx","ul_139271")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0.33333333333333331</v>
      </c>
      <c r="F359">
        <v>0.33333333333333331</v>
      </c>
      <c r="G359">
        <v>0.33333333333333331</v>
      </c>
    </row>
    <row r="360" spans="1:7" x14ac:dyDescent="0.15">
      <c r="A360" t="str">
        <f>HYPERLINK("./new_k5/query_cmdrels_weight_analyze/0.1_0.2_0.7/ul_140482.xlsx","ul_140482")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0.55555555555555547</v>
      </c>
      <c r="F360">
        <v>0.33333333333333331</v>
      </c>
      <c r="G360">
        <v>0.55555555555555547</v>
      </c>
    </row>
    <row r="361" spans="1:7" x14ac:dyDescent="0.15">
      <c r="A361" t="str">
        <f>HYPERLINK("./new_k5/query_cmdrels_weight_analyze/0.1_0.2_0.7/ul_14191.xlsx","ul_14191")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0.24444444444444449</v>
      </c>
    </row>
    <row r="362" spans="1:7" x14ac:dyDescent="0.15">
      <c r="A362" t="str">
        <f>HYPERLINK("./new_k5/query_cmdrels_weight_analyze/0.1_0.2_0.7/ul_145929.xlsx","ul_145929")</f>
        <v>ul_145929</v>
      </c>
      <c r="B362">
        <v>0</v>
      </c>
      <c r="C362">
        <v>0</v>
      </c>
      <c r="D362">
        <v>0.16666666666666671</v>
      </c>
      <c r="E362">
        <v>0</v>
      </c>
      <c r="F362">
        <v>0.16666666666666671</v>
      </c>
      <c r="G362">
        <v>0.32500000000000001</v>
      </c>
    </row>
    <row r="363" spans="1:7" x14ac:dyDescent="0.15">
      <c r="A363" t="str">
        <f>HYPERLINK("./new_k5/query_cmdrels_weight_analyze/0.1_0.2_0.7/ul_148985.xlsx","ul_148985")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HYPERLINK("./new_k5/query_cmdrels_weight_analyze/0.1_0.2_0.7/ul_15405.xlsx","ul_15405")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0.65</v>
      </c>
    </row>
    <row r="365" spans="1:7" x14ac:dyDescent="0.15">
      <c r="A365" t="str">
        <f>HYPERLINK("./new_k5/query_cmdrels_weight_analyze/0.1_0.2_0.7/ul_155551.xlsx","ul_155551")</f>
        <v>ul_155551</v>
      </c>
      <c r="B365">
        <v>0</v>
      </c>
      <c r="C365">
        <v>0.5</v>
      </c>
      <c r="D365">
        <v>0</v>
      </c>
      <c r="E365">
        <v>0.5</v>
      </c>
      <c r="F365">
        <v>0</v>
      </c>
      <c r="G365">
        <v>0.75</v>
      </c>
    </row>
    <row r="366" spans="1:7" x14ac:dyDescent="0.15">
      <c r="A366" t="str">
        <f>HYPERLINK("./new_k5/query_cmdrels_weight_analyze/0.1_0.2_0.7/ul_159672.xlsx","ul_159672")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HYPERLINK("./new_k5/query_cmdrels_weight_analyze/0.1_0.2_0.7/ul_163845.xlsx","ul_163845")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0.29166666666666657</v>
      </c>
    </row>
    <row r="368" spans="1:7" x14ac:dyDescent="0.15">
      <c r="A368" t="str">
        <f>HYPERLINK("./new_k5/query_cmdrels_weight_analyze/0.1_0.2_0.7/ul_16407.xlsx","ul_16407")</f>
        <v>ul_16407</v>
      </c>
      <c r="B368">
        <v>0.5</v>
      </c>
      <c r="C368">
        <v>0</v>
      </c>
      <c r="D368">
        <v>0.5</v>
      </c>
      <c r="E368">
        <v>0.58333333333333326</v>
      </c>
      <c r="F368">
        <v>0.75</v>
      </c>
      <c r="G368">
        <v>0.58333333333333326</v>
      </c>
    </row>
    <row r="369" spans="1:7" x14ac:dyDescent="0.15">
      <c r="A369" t="str">
        <f>HYPERLINK("./new_k5/query_cmdrels_weight_analyze/0.1_0.2_0.7/ul_166558.xlsx","ul_166558")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HYPERLINK("./new_k5/query_cmdrels_weight_analyze/0.1_0.2_0.7/ul_171314.xlsx","ul_171314")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0.35</v>
      </c>
    </row>
    <row r="371" spans="1:7" x14ac:dyDescent="0.15">
      <c r="A371" t="str">
        <f>HYPERLINK("./new_k5/query_cmdrels_weight_analyze/0.1_0.2_0.7/ul_182032.xlsx","ul_182032")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HYPERLINK("./new_k5/query_cmdrels_weight_analyze/0.1_0.2_0.7/ul_19344.xlsx","ul_19344")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HYPERLINK("./new_k5/query_cmdrels_weight_analyze/0.1_0.2_0.7/ul_19369.xlsx","ul_19369")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HYPERLINK("./new_k5/query_cmdrels_weight_analyze/0.1_0.2_0.7/ul_19485.xlsx","ul_19485")</f>
        <v>ul_19485</v>
      </c>
      <c r="B374">
        <v>0</v>
      </c>
      <c r="C374">
        <v>0</v>
      </c>
      <c r="D374">
        <v>0</v>
      </c>
      <c r="E374">
        <v>0.33333333333333331</v>
      </c>
      <c r="F374">
        <v>0</v>
      </c>
      <c r="G374">
        <v>0.33333333333333331</v>
      </c>
    </row>
    <row r="375" spans="1:7" x14ac:dyDescent="0.15">
      <c r="A375" t="str">
        <f>HYPERLINK("./new_k5/query_cmdrels_weight_analyze/0.1_0.2_0.7/ul_20370.xlsx","ul_20370")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0.125</v>
      </c>
    </row>
    <row r="376" spans="1:7" x14ac:dyDescent="0.15">
      <c r="A376" t="str">
        <f>HYPERLINK("./new_k5/query_cmdrels_weight_analyze/0.1_0.2_0.7/ul_211817.xlsx","ul_211817")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HYPERLINK("./new_k5/query_cmdrels_weight_analyze/0.1_0.2_0.7/ul_212925.xlsx","ul_212925")</f>
        <v>ul_212925</v>
      </c>
      <c r="B377">
        <v>0</v>
      </c>
      <c r="C377">
        <v>0</v>
      </c>
      <c r="D377">
        <v>0</v>
      </c>
      <c r="E377">
        <v>0.5</v>
      </c>
      <c r="F377">
        <v>0</v>
      </c>
      <c r="G377">
        <v>0.5</v>
      </c>
    </row>
    <row r="378" spans="1:7" x14ac:dyDescent="0.15">
      <c r="A378" t="str">
        <f>HYPERLINK("./new_k5/query_cmdrels_weight_analyze/0.1_0.2_0.7/ul_21471.xlsx","ul_21471")</f>
        <v>ul_21471</v>
      </c>
      <c r="B378">
        <v>0</v>
      </c>
      <c r="C378">
        <v>0</v>
      </c>
      <c r="D378">
        <v>0</v>
      </c>
      <c r="E378">
        <v>0.16666666666666671</v>
      </c>
      <c r="F378">
        <v>8.3333333333333329E-2</v>
      </c>
      <c r="G378">
        <v>0.16666666666666671</v>
      </c>
    </row>
    <row r="379" spans="1:7" x14ac:dyDescent="0.15">
      <c r="A379" t="str">
        <f>HYPERLINK("./new_k5/query_cmdrels_weight_analyze/0.1_0.2_0.7/ul_22545.xlsx","ul_22545")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HYPERLINK("./new_k5/query_cmdrels_weight_analyze/0.1_0.2_0.7/ul_230481.xlsx","ul_230481")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0.33333333333333331</v>
      </c>
      <c r="F380">
        <v>0.33333333333333331</v>
      </c>
      <c r="G380">
        <v>0.70000000000000007</v>
      </c>
    </row>
    <row r="381" spans="1:7" x14ac:dyDescent="0.15">
      <c r="A381" t="str">
        <f>HYPERLINK("./new_k5/query_cmdrels_weight_analyze/0.1_0.2_0.7/ul_230673.xlsx","ul_230673")</f>
        <v>ul_230673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0.125</v>
      </c>
    </row>
    <row r="382" spans="1:7" x14ac:dyDescent="0.15">
      <c r="A382" t="str">
        <f>HYPERLINK("./new_k5/query_cmdrels_weight_analyze/0.1_0.2_0.7/ul_230800.xlsx","ul_230800")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HYPERLINK("./new_k5/query_cmdrels_weight_analyze/0.1_0.2_0.7/ul_232384.xlsx","ul_232384")</f>
        <v>ul_232384</v>
      </c>
      <c r="B383">
        <v>0</v>
      </c>
      <c r="C383">
        <v>0.5</v>
      </c>
      <c r="D383">
        <v>0</v>
      </c>
      <c r="E383">
        <v>0.83333333333333326</v>
      </c>
      <c r="F383">
        <v>0</v>
      </c>
      <c r="G383">
        <v>0.83333333333333326</v>
      </c>
    </row>
    <row r="384" spans="1:7" x14ac:dyDescent="0.15">
      <c r="A384" t="str">
        <f>HYPERLINK("./new_k5/query_cmdrels_weight_analyze/0.1_0.2_0.7/ul_24441.xlsx","ul_24441")</f>
        <v>ul_24441</v>
      </c>
      <c r="B384">
        <v>0</v>
      </c>
      <c r="C384">
        <v>0</v>
      </c>
      <c r="D384">
        <v>0</v>
      </c>
      <c r="E384">
        <v>0.25</v>
      </c>
      <c r="F384">
        <v>0</v>
      </c>
      <c r="G384">
        <v>0.25</v>
      </c>
    </row>
    <row r="385" spans="1:7" x14ac:dyDescent="0.15">
      <c r="A385" t="str">
        <f>HYPERLINK("./new_k5/query_cmdrels_weight_analyze/0.1_0.2_0.7/ul_246535.xlsx","ul_246535")</f>
        <v>ul_246535</v>
      </c>
      <c r="B385">
        <v>0.2</v>
      </c>
      <c r="C385">
        <v>0.2</v>
      </c>
      <c r="D385">
        <v>0.2</v>
      </c>
      <c r="E385">
        <v>0.2</v>
      </c>
      <c r="F385">
        <v>0.2</v>
      </c>
      <c r="G385">
        <v>0.42</v>
      </c>
    </row>
    <row r="386" spans="1:7" x14ac:dyDescent="0.15">
      <c r="A386" t="str">
        <f>HYPERLINK("./new_k5/query_cmdrels_weight_analyze/0.1_0.2_0.7/ul_259791.xlsx","ul_259791")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HYPERLINK("./new_k5/query_cmdrels_weight_analyze/0.1_0.2_0.7/ul_273971.xlsx","ul_273971")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0.33333333333333331</v>
      </c>
      <c r="F387">
        <v>0.43333333333333329</v>
      </c>
      <c r="G387">
        <v>0.43333333333333329</v>
      </c>
    </row>
    <row r="388" spans="1:7" x14ac:dyDescent="0.15">
      <c r="A388" t="str">
        <f>HYPERLINK("./new_k5/query_cmdrels_weight_analyze/0.1_0.2_0.7/ul_28553.xlsx","ul_28553")</f>
        <v>ul_28553</v>
      </c>
      <c r="B388">
        <v>0.25</v>
      </c>
      <c r="C388">
        <v>0</v>
      </c>
      <c r="D388">
        <v>0.5</v>
      </c>
      <c r="E388">
        <v>0</v>
      </c>
      <c r="F388">
        <v>0.5</v>
      </c>
      <c r="G388">
        <v>0</v>
      </c>
    </row>
    <row r="389" spans="1:7" x14ac:dyDescent="0.15">
      <c r="A389" t="str">
        <f>HYPERLINK("./new_k5/query_cmdrels_weight_analyze/0.1_0.2_0.7/ul_288521.xlsx","ul_288521")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HYPERLINK("./new_k5/query_cmdrels_weight_analyze/0.1_0.2_0.7/ul_32290.xlsx","ul_32290")</f>
        <v>ul_32290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6.25E-2</v>
      </c>
    </row>
    <row r="391" spans="1:7" x14ac:dyDescent="0.15">
      <c r="A391" t="str">
        <f>HYPERLINK("./new_k5/query_cmdrels_weight_analyze/0.1_0.2_0.7/ul_328882.xlsx","ul_328882")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HYPERLINK("./new_k5/query_cmdrels_weight_analyze/0.1_0.2_0.7/ul_35131.xlsx","ul_35131")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0.66666666666666663</v>
      </c>
    </row>
    <row r="393" spans="1:7" x14ac:dyDescent="0.15">
      <c r="A393" t="str">
        <f>HYPERLINK("./new_k5/query_cmdrels_weight_analyze/0.1_0.2_0.7/ul_35333.xlsx","ul_35333")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HYPERLINK("./new_k5/query_cmdrels_weight_analyze/0.1_0.2_0.7/ul_35711.xlsx","ul_35711")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HYPERLINK("./new_k5/query_cmdrels_weight_analyze/0.1_0.2_0.7/ul_3575.xlsx","ul_3575")</f>
        <v>ul_3575</v>
      </c>
      <c r="B395">
        <v>0</v>
      </c>
      <c r="C395">
        <v>0</v>
      </c>
      <c r="D395">
        <v>8.3333333333333329E-2</v>
      </c>
      <c r="E395">
        <v>8.3333333333333329E-2</v>
      </c>
      <c r="F395">
        <v>8.3333333333333329E-2</v>
      </c>
      <c r="G395">
        <v>8.3333333333333329E-2</v>
      </c>
    </row>
    <row r="396" spans="1:7" x14ac:dyDescent="0.15">
      <c r="A396" t="str">
        <f>HYPERLINK("./new_k5/query_cmdrels_weight_analyze/0.1_0.2_0.7/ul_35832.xlsx","ul_35832")</f>
        <v>ul_35832</v>
      </c>
      <c r="B396">
        <v>0.5</v>
      </c>
      <c r="C396">
        <v>0.5</v>
      </c>
      <c r="D396">
        <v>0.5</v>
      </c>
      <c r="E396">
        <v>1</v>
      </c>
      <c r="F396">
        <v>0.5</v>
      </c>
      <c r="G396">
        <v>1</v>
      </c>
    </row>
    <row r="397" spans="1:7" x14ac:dyDescent="0.15">
      <c r="A397" t="str">
        <f>HYPERLINK("./new_k5/query_cmdrels_weight_analyze/0.1_0.2_0.7/ul_370318.xlsx","ul_370318")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0.2857142857142857</v>
      </c>
      <c r="F397">
        <v>0.14285714285714279</v>
      </c>
      <c r="G397">
        <v>0.39285714285714279</v>
      </c>
    </row>
    <row r="398" spans="1:7" x14ac:dyDescent="0.15">
      <c r="A398" t="str">
        <f>HYPERLINK("./new_k5/query_cmdrels_weight_analyze/0.1_0.2_0.7/ul_37329.xlsx","ul_37329")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0.55555555555555547</v>
      </c>
      <c r="F398">
        <v>0.33333333333333331</v>
      </c>
      <c r="G398">
        <v>0.55555555555555547</v>
      </c>
    </row>
    <row r="399" spans="1:7" x14ac:dyDescent="0.15">
      <c r="A399" t="str">
        <f>HYPERLINK("./new_k5/query_cmdrels_weight_analyze/0.1_0.2_0.7/ul_38209.xlsx","ul_38209")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HYPERLINK("./new_k5/query_cmdrels_weight_analyze/0.1_0.2_0.7/ul_41246.xlsx","ul_41246")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HYPERLINK("./new_k5/query_cmdrels_weight_analyze/0.1_0.2_0.7/ul_41362.xlsx","ul_41362")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6.25E-2</v>
      </c>
    </row>
    <row r="402" spans="1:7" x14ac:dyDescent="0.15">
      <c r="A402" t="str">
        <f>HYPERLINK("./new_k5/query_cmdrels_weight_analyze/0.1_0.2_0.7/ul_48200.xlsx","ul_48200")</f>
        <v>ul_48200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0.32500000000000001</v>
      </c>
    </row>
    <row r="403" spans="1:7" x14ac:dyDescent="0.15">
      <c r="A403" t="str">
        <f>HYPERLINK("./new_k5/query_cmdrels_weight_analyze/0.1_0.2_0.7/ul_50098.xlsx","ul_50098")</f>
        <v>ul_50098</v>
      </c>
      <c r="B403">
        <v>0</v>
      </c>
      <c r="C403">
        <v>0.1</v>
      </c>
      <c r="D403">
        <v>0.1166666666666667</v>
      </c>
      <c r="E403">
        <v>0.16666666666666671</v>
      </c>
      <c r="F403">
        <v>0.1166666666666667</v>
      </c>
      <c r="G403">
        <v>0.24166666666666661</v>
      </c>
    </row>
    <row r="404" spans="1:7" x14ac:dyDescent="0.15">
      <c r="A404" t="str">
        <f>HYPERLINK("./new_k5/query_cmdrels_weight_analyze/0.1_0.2_0.7/ul_50785.xlsx","ul_50785")</f>
        <v>ul_50785</v>
      </c>
      <c r="B404">
        <v>0.25</v>
      </c>
      <c r="C404">
        <v>0.25</v>
      </c>
      <c r="D404">
        <v>0.25</v>
      </c>
      <c r="E404">
        <v>0.75</v>
      </c>
      <c r="F404">
        <v>0.25</v>
      </c>
      <c r="G404">
        <v>0.75</v>
      </c>
    </row>
    <row r="405" spans="1:7" x14ac:dyDescent="0.15">
      <c r="A405" t="str">
        <f>HYPERLINK("./new_k5/query_cmdrels_weight_analyze/0.1_0.2_0.7/ul_5085.xlsx","ul_5085")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HYPERLINK("./new_k5/query_cmdrels_weight_analyze/0.1_0.2_0.7/ul_53737.xlsx","ul_53737")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HYPERLINK("./new_k5/query_cmdrels_weight_analyze/0.1_0.2_0.7/ul_55125.xlsx","ul_55125")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HYPERLINK("./new_k5/query_cmdrels_weight_analyze/0.1_0.2_0.7/ul_56453.xlsx","ul_56453")</f>
        <v>ul_56453</v>
      </c>
      <c r="B408">
        <v>0</v>
      </c>
      <c r="C408">
        <v>0</v>
      </c>
      <c r="D408">
        <v>8.3333333333333329E-2</v>
      </c>
      <c r="E408">
        <v>0.125</v>
      </c>
      <c r="F408">
        <v>8.3333333333333329E-2</v>
      </c>
      <c r="G408">
        <v>0.125</v>
      </c>
    </row>
    <row r="409" spans="1:7" x14ac:dyDescent="0.15">
      <c r="A409" t="str">
        <f>HYPERLINK("./new_k5/query_cmdrels_weight_analyze/0.1_0.2_0.7/ul_63648.xlsx","ul_63648")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HYPERLINK("./new_k5/query_cmdrels_weight_analyze/0.1_0.2_0.7/ul_6402.xlsx","ul_6402")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0.33333333333333331</v>
      </c>
    </row>
    <row r="411" spans="1:7" x14ac:dyDescent="0.15">
      <c r="A411" t="str">
        <f>HYPERLINK("./new_k5/query_cmdrels_weight_analyze/0.1_0.2_0.7/ul_65106.xlsx","ul_65106")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0.8666666666666667</v>
      </c>
    </row>
    <row r="412" spans="1:7" x14ac:dyDescent="0.15">
      <c r="A412" t="str">
        <f>HYPERLINK("./new_k5/query_cmdrels_weight_analyze/0.1_0.2_0.7/ul_65932.xlsx","ul_65932")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HYPERLINK("./new_k5/query_cmdrels_weight_analyze/0.1_0.2_0.7/ul_6596.xlsx","ul_6596")</f>
        <v>ul_6596</v>
      </c>
      <c r="B413">
        <v>0.2</v>
      </c>
      <c r="C413">
        <v>0.2</v>
      </c>
      <c r="D413">
        <v>0.6</v>
      </c>
      <c r="E413">
        <v>0.6</v>
      </c>
      <c r="F413">
        <v>0.6</v>
      </c>
      <c r="G413">
        <v>0.76</v>
      </c>
    </row>
    <row r="414" spans="1:7" x14ac:dyDescent="0.15">
      <c r="A414" t="str">
        <f>HYPERLINK("./new_k5/query_cmdrels_weight_analyze/0.1_0.2_0.7/ul_67503.xlsx","ul_67503")</f>
        <v>ul_67503</v>
      </c>
      <c r="B414">
        <v>0</v>
      </c>
      <c r="C414">
        <v>0.5</v>
      </c>
      <c r="D414">
        <v>0.25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HYPERLINK("./new_k5/query_cmdrels_weight_analyze/0.1_0.2_0.7/ul_67592.xlsx","ul_67592")</f>
        <v>ul_67592</v>
      </c>
      <c r="B415">
        <v>0.33333333333333331</v>
      </c>
      <c r="C415">
        <v>0</v>
      </c>
      <c r="D415">
        <v>0.33333333333333331</v>
      </c>
      <c r="E415">
        <v>0</v>
      </c>
      <c r="F415">
        <v>0.33333333333333331</v>
      </c>
      <c r="G415">
        <v>8.3333333333333329E-2</v>
      </c>
    </row>
    <row r="416" spans="1:7" x14ac:dyDescent="0.15">
      <c r="A416" t="str">
        <f>HYPERLINK("./new_k5/query_cmdrels_weight_analyze/0.1_0.2_0.7/ul_70581.xlsx","ul_70581")</f>
        <v>ul_70581</v>
      </c>
      <c r="B416">
        <v>0</v>
      </c>
      <c r="C416">
        <v>0</v>
      </c>
      <c r="D416">
        <v>0.1</v>
      </c>
      <c r="E416">
        <v>6.6666666666666666E-2</v>
      </c>
      <c r="F416">
        <v>0.1</v>
      </c>
      <c r="G416">
        <v>0.16666666666666671</v>
      </c>
    </row>
    <row r="417" spans="1:7" x14ac:dyDescent="0.15">
      <c r="A417" t="str">
        <f>HYPERLINK("./new_k5/query_cmdrels_weight_analyze/0.1_0.2_0.7/ul_70614.xlsx","ul_70614")</f>
        <v>ul_70614</v>
      </c>
      <c r="B417">
        <v>1</v>
      </c>
      <c r="C417">
        <v>0</v>
      </c>
      <c r="D417">
        <v>1</v>
      </c>
      <c r="E417">
        <v>0.33333333333333331</v>
      </c>
      <c r="F417">
        <v>1</v>
      </c>
      <c r="G417">
        <v>0.33333333333333331</v>
      </c>
    </row>
    <row r="418" spans="1:7" x14ac:dyDescent="0.15">
      <c r="A418" t="str">
        <f>HYPERLINK("./new_k5/query_cmdrels_weight_analyze/0.1_0.2_0.7/ul_71465.xlsx","ul_71465")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0.2</v>
      </c>
    </row>
    <row r="419" spans="1:7" x14ac:dyDescent="0.15">
      <c r="A419" t="str">
        <f>HYPERLINK("./new_k5/query_cmdrels_weight_analyze/0.1_0.2_0.7/ul_7226.xlsx","ul_7226")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0.55555555555555547</v>
      </c>
      <c r="F419">
        <v>0.33333333333333331</v>
      </c>
      <c r="G419">
        <v>0.55555555555555547</v>
      </c>
    </row>
    <row r="420" spans="1:7" x14ac:dyDescent="0.15">
      <c r="A420" t="str">
        <f>HYPERLINK("./new_k5/query_cmdrels_weight_analyze/0.1_0.2_0.7/ul_78182.xlsx","ul_78182")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HYPERLINK("./new_k5/query_cmdrels_weight_analyze/0.1_0.2_0.7/ul_79678.xlsx","ul_79678")</f>
        <v>ul_79678</v>
      </c>
      <c r="B421">
        <v>0</v>
      </c>
      <c r="C421">
        <v>0</v>
      </c>
      <c r="D421">
        <v>0.25</v>
      </c>
      <c r="E421">
        <v>0.25</v>
      </c>
      <c r="F421">
        <v>0.25</v>
      </c>
      <c r="G421">
        <v>0.25</v>
      </c>
    </row>
    <row r="422" spans="1:7" x14ac:dyDescent="0.15">
      <c r="A422" t="str">
        <f>HYPERLINK("./new_k5/query_cmdrels_weight_analyze/0.1_0.2_0.7/ul_79702.xlsx","ul_79702")</f>
        <v>ul_79702</v>
      </c>
      <c r="B422">
        <v>0</v>
      </c>
      <c r="C422">
        <v>0.33333333333333331</v>
      </c>
      <c r="D422">
        <v>0</v>
      </c>
      <c r="E422">
        <v>0.66666666666666663</v>
      </c>
      <c r="F422">
        <v>0</v>
      </c>
      <c r="G422">
        <v>0.8666666666666667</v>
      </c>
    </row>
    <row r="423" spans="1:7" x14ac:dyDescent="0.15">
      <c r="A423" t="str">
        <f>HYPERLINK("./new_k5/query_cmdrels_weight_analyze/0.1_0.2_0.7/ul_83593.xlsx","ul_83593")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HYPERLINK("./new_k5/query_cmdrels_weight_analyze/0.1_0.2_0.7/ul_84381.xlsx","ul_84381")</f>
        <v>ul_84381</v>
      </c>
      <c r="B424">
        <v>0</v>
      </c>
      <c r="C424">
        <v>0.33333333333333331</v>
      </c>
      <c r="D424">
        <v>0.16666666666666671</v>
      </c>
      <c r="E424">
        <v>0.33333333333333331</v>
      </c>
      <c r="F424">
        <v>0.16666666666666671</v>
      </c>
      <c r="G424">
        <v>0.33333333333333331</v>
      </c>
    </row>
    <row r="425" spans="1:7" x14ac:dyDescent="0.15">
      <c r="A425" t="str">
        <f>HYPERLINK("./new_k5/query_cmdrels_weight_analyze/0.1_0.2_0.7/ul_85180.xlsx","ul_85180")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0.1111111111111111</v>
      </c>
    </row>
    <row r="426" spans="1:7" x14ac:dyDescent="0.15">
      <c r="A426" t="str">
        <f>HYPERLINK("./new_k5/query_cmdrels_weight_analyze/0.1_0.2_0.7/ul_86071.xlsx","ul_86071")</f>
        <v>ul_86071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0.125</v>
      </c>
    </row>
    <row r="427" spans="1:7" x14ac:dyDescent="0.15">
      <c r="A427" t="str">
        <f>HYPERLINK("./new_k5/query_cmdrels_weight_analyze/0.1_0.2_0.7/ul_86729.xlsx","ul_86729")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HYPERLINK("./new_k5/query_cmdrels_weight_analyze/0.1_0.2_0.7/ul_88824.xlsx","ul_88824")</f>
        <v>ul_88824</v>
      </c>
      <c r="B428">
        <v>0</v>
      </c>
      <c r="C428">
        <v>0</v>
      </c>
      <c r="D428">
        <v>0</v>
      </c>
      <c r="E428">
        <v>0.16666666666666671</v>
      </c>
      <c r="F428">
        <v>0</v>
      </c>
      <c r="G428">
        <v>0.33333333333333331</v>
      </c>
    </row>
    <row r="429" spans="1:7" x14ac:dyDescent="0.15">
      <c r="A429" t="str">
        <f>HYPERLINK("./new_k5/query_cmdrels_weight_analyze/0.1_0.2_0.7/ul_8945.xlsx","ul_8945")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HYPERLINK("./new_k5/query_cmdrels_weight_analyze/0.1_0.2_0.7/ul_89933.xlsx","ul_89933")</f>
        <v>ul_89933</v>
      </c>
      <c r="B430">
        <v>0.5</v>
      </c>
      <c r="C430">
        <v>0</v>
      </c>
      <c r="D430">
        <v>0.5</v>
      </c>
      <c r="E430">
        <v>0.25</v>
      </c>
      <c r="F430">
        <v>0.5</v>
      </c>
      <c r="G430">
        <v>0.25</v>
      </c>
    </row>
    <row r="431" spans="1:7" x14ac:dyDescent="0.15">
      <c r="A431" t="str">
        <f>HYPERLINK("./new_k5/query_cmdrels_weight_analyze/0.1_0.2_0.7/ul_91297.xlsx","ul_91297")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HYPERLINK("./new_k5/query_cmdrels_weight_analyze/0.1_0.2_0.7/ul_9252.xlsx","ul_9252")</f>
        <v>ul_9252</v>
      </c>
      <c r="B432">
        <v>0</v>
      </c>
      <c r="C432">
        <v>0</v>
      </c>
      <c r="D432">
        <v>0.23333333333333331</v>
      </c>
      <c r="E432">
        <v>0.1</v>
      </c>
      <c r="F432">
        <v>0.23333333333333331</v>
      </c>
      <c r="G432">
        <v>0.18</v>
      </c>
    </row>
    <row r="433" spans="1:7" x14ac:dyDescent="0.15">
      <c r="A433" t="str">
        <f>HYPERLINK("./new_k5/query_cmdrels_weight_analyze/0.1_0.2_0.7/ul_92560.xlsx","ul_92560")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0.75</v>
      </c>
    </row>
    <row r="434" spans="1:7" x14ac:dyDescent="0.15">
      <c r="A434" t="str">
        <f>HYPERLINK("./new_k5/query_cmdrels_weight_analyze/0.1_0.2_0.7/ul_92799.xlsx","ul_92799")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0.27777777777777768</v>
      </c>
      <c r="F434">
        <v>0.53611111111111109</v>
      </c>
      <c r="G434">
        <v>0.53611111111111109</v>
      </c>
    </row>
    <row r="435" spans="1:7" x14ac:dyDescent="0.15">
      <c r="A435" t="str">
        <f>HYPERLINK("./new_k5/query_cmdrels_weight_analyze/0.1_0.2_0.7/ul_93139.xlsx","ul_93139")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HYPERLINK("./new_k5/query_cmdrels_weight_analyze/0.1_0.2_0.7/ul_98461.xlsx","ul_98461")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HYPERLINK("./new_k5/query_cmdrels_weight_analyze/0.5_0.3_0.2/au_102733.xlsx","au_102733")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HYPERLINK("./new_k5/query_cmdrels_weight_analyze/0.5_0.3_0.2/au_1029436.xlsx","au_1029436")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HYPERLINK("./new_k5/query_cmdrels_weight_analyze/0.5_0.3_0.2/au_1029502.xlsx","au_1029502")</f>
        <v>au_1029502</v>
      </c>
      <c r="B5">
        <v>0.25</v>
      </c>
      <c r="C5">
        <v>0</v>
      </c>
      <c r="D5">
        <v>0.25</v>
      </c>
      <c r="E5">
        <v>8.3333333333333329E-2</v>
      </c>
      <c r="F5">
        <v>0.375</v>
      </c>
      <c r="G5">
        <v>8.3333333333333329E-2</v>
      </c>
    </row>
    <row r="6" spans="1:7" x14ac:dyDescent="0.15">
      <c r="A6" t="str">
        <f>HYPERLINK("./new_k5/query_cmdrels_weight_analyze/0.5_0.3_0.2/au_1029531.xlsx","au_1029531")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HYPERLINK("./new_k5/query_cmdrels_weight_analyze/0.5_0.3_0.2/au_104542.xlsx","au_104542")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HYPERLINK("./new_k5/query_cmdrels_weight_analyze/0.5_0.3_0.2/au_109070.xlsx","au_109070")</f>
        <v>au_109070</v>
      </c>
      <c r="B8">
        <v>0</v>
      </c>
      <c r="C8">
        <v>0</v>
      </c>
      <c r="D8">
        <v>0.23333333333333331</v>
      </c>
      <c r="E8">
        <v>0</v>
      </c>
      <c r="F8">
        <v>0.3833333333333333</v>
      </c>
      <c r="G8">
        <v>0.05</v>
      </c>
    </row>
    <row r="9" spans="1:7" x14ac:dyDescent="0.15">
      <c r="A9" t="str">
        <f>HYPERLINK("./new_k5/query_cmdrels_weight_analyze/0.5_0.3_0.2/au_109381.xlsx","au_109381")</f>
        <v>au_109381</v>
      </c>
      <c r="B9">
        <v>0</v>
      </c>
      <c r="C9">
        <v>0.5</v>
      </c>
      <c r="D9">
        <v>0.25</v>
      </c>
      <c r="E9">
        <v>0.5</v>
      </c>
      <c r="F9">
        <v>0.25</v>
      </c>
      <c r="G9">
        <v>0.7</v>
      </c>
    </row>
    <row r="10" spans="1:7" x14ac:dyDescent="0.15">
      <c r="A10" t="str">
        <f>HYPERLINK("./new_k5/query_cmdrels_weight_analyze/0.5_0.3_0.2/au_110477.xlsx","au_110477")</f>
        <v>au_110477</v>
      </c>
      <c r="B10">
        <v>0.25</v>
      </c>
      <c r="C10">
        <v>0.25</v>
      </c>
      <c r="D10">
        <v>0.5</v>
      </c>
      <c r="E10">
        <v>0.75</v>
      </c>
      <c r="F10">
        <v>0.5</v>
      </c>
      <c r="G10">
        <v>0.75</v>
      </c>
    </row>
    <row r="11" spans="1:7" x14ac:dyDescent="0.15">
      <c r="A11" t="str">
        <f>HYPERLINK("./new_k5/query_cmdrels_weight_analyze/0.5_0.3_0.2/au_111678.xlsx","au_111678")</f>
        <v>au_111678</v>
      </c>
      <c r="B11">
        <v>0</v>
      </c>
      <c r="C11">
        <v>0.33333333333333331</v>
      </c>
      <c r="D11">
        <v>0.1111111111111111</v>
      </c>
      <c r="E11">
        <v>0.33333333333333331</v>
      </c>
      <c r="F11">
        <v>0.1111111111111111</v>
      </c>
      <c r="G11">
        <v>0.33333333333333331</v>
      </c>
    </row>
    <row r="12" spans="1:7" x14ac:dyDescent="0.15">
      <c r="A12" t="str">
        <f>HYPERLINK("./new_k5/query_cmdrels_weight_analyze/0.5_0.3_0.2/au_112512.xlsx","au_112512")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HYPERLINK("./new_k5/query_cmdrels_weight_analyze/0.5_0.3_0.2/au_115369.xlsx","au_115369")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HYPERLINK("./new_k5/query_cmdrels_weight_analyze/0.5_0.3_0.2/au_11789.xlsx","au_11789")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HYPERLINK("./new_k5/query_cmdrels_weight_analyze/0.5_0.3_0.2/au_117950.xlsx","au_117950")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0.32500000000000001</v>
      </c>
    </row>
    <row r="16" spans="1:7" x14ac:dyDescent="0.15">
      <c r="A16" t="str">
        <f>HYPERLINK("./new_k5/query_cmdrels_weight_analyze/0.5_0.3_0.2/au_122113.xlsx","au_122113")</f>
        <v>au_122113</v>
      </c>
      <c r="B16">
        <v>0.25</v>
      </c>
      <c r="C16">
        <v>0</v>
      </c>
      <c r="D16">
        <v>0.25</v>
      </c>
      <c r="E16">
        <v>0.125</v>
      </c>
      <c r="F16">
        <v>0.25</v>
      </c>
      <c r="G16">
        <v>0.25</v>
      </c>
    </row>
    <row r="17" spans="1:7" x14ac:dyDescent="0.15">
      <c r="A17" t="str">
        <f>HYPERLINK("./new_k5/query_cmdrels_weight_analyze/0.5_0.3_0.2/au_123798.xlsx","au_123798")</f>
        <v>au_123798</v>
      </c>
      <c r="B17">
        <v>0</v>
      </c>
      <c r="C17">
        <v>0</v>
      </c>
      <c r="D17">
        <v>5.5555555555555552E-2</v>
      </c>
      <c r="E17">
        <v>8.3333333333333329E-2</v>
      </c>
      <c r="F17">
        <v>0.23888888888888879</v>
      </c>
      <c r="G17">
        <v>0.26666666666666672</v>
      </c>
    </row>
    <row r="18" spans="1:7" x14ac:dyDescent="0.15">
      <c r="A18" t="str">
        <f>HYPERLINK("./new_k5/query_cmdrels_weight_analyze/0.5_0.3_0.2/au_125257.xlsx","au_125257")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HYPERLINK("./new_k5/query_cmdrels_weight_analyze/0.5_0.3_0.2/au_126153.xlsx","au_126153")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0.33333333333333331</v>
      </c>
      <c r="F19">
        <v>0.45833333333333331</v>
      </c>
      <c r="G19">
        <v>0.43333333333333329</v>
      </c>
    </row>
    <row r="20" spans="1:7" x14ac:dyDescent="0.15">
      <c r="A20" t="str">
        <f>HYPERLINK("./new_k5/query_cmdrels_weight_analyze/0.5_0.3_0.2/au_127326.xlsx","au_127326")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HYPERLINK("./new_k5/query_cmdrels_weight_analyze/0.5_0.3_0.2/au_128463.xlsx","au_128463")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HYPERLINK("./new_k5/query_cmdrels_weight_analyze/0.5_0.3_0.2/au_130393.xlsx","au_130393")</f>
        <v>au_130393</v>
      </c>
      <c r="B22">
        <v>0</v>
      </c>
      <c r="C22">
        <v>0</v>
      </c>
      <c r="D22">
        <v>0.125</v>
      </c>
      <c r="E22">
        <v>0.125</v>
      </c>
      <c r="F22">
        <v>0.125</v>
      </c>
      <c r="G22">
        <v>0.25</v>
      </c>
    </row>
    <row r="23" spans="1:7" x14ac:dyDescent="0.15">
      <c r="A23" t="str">
        <f>HYPERLINK("./new_k5/query_cmdrels_weight_analyze/0.5_0.3_0.2/au_131570.xlsx","au_131570")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HYPERLINK("./new_k5/query_cmdrels_weight_analyze/0.5_0.3_0.2/au_133318.xlsx","au_133318")</f>
        <v>au_133318</v>
      </c>
      <c r="B24">
        <v>0</v>
      </c>
      <c r="C24">
        <v>0.25</v>
      </c>
      <c r="D24">
        <v>0</v>
      </c>
      <c r="E24">
        <v>0.41666666666666657</v>
      </c>
      <c r="F24">
        <v>0</v>
      </c>
      <c r="G24">
        <v>0.41666666666666657</v>
      </c>
    </row>
    <row r="25" spans="1:7" x14ac:dyDescent="0.15">
      <c r="A25" t="str">
        <f>HYPERLINK("./new_k5/query_cmdrels_weight_analyze/0.5_0.3_0.2/au_133343.xlsx","au_133343")</f>
        <v>au_133343</v>
      </c>
      <c r="B25">
        <v>0</v>
      </c>
      <c r="C25">
        <v>0</v>
      </c>
      <c r="D25">
        <v>0</v>
      </c>
      <c r="E25">
        <v>0.38888888888888878</v>
      </c>
      <c r="F25">
        <v>0</v>
      </c>
      <c r="G25">
        <v>0.38888888888888878</v>
      </c>
    </row>
    <row r="26" spans="1:7" x14ac:dyDescent="0.15">
      <c r="A26" t="str">
        <f>HYPERLINK("./new_k5/query_cmdrels_weight_analyze/0.5_0.3_0.2/au_133389.xlsx","au_133389")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HYPERLINK("./new_k5/query_cmdrels_weight_analyze/0.5_0.3_0.2/au_141277.xlsx","au_141277")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HYPERLINK("./new_k5/query_cmdrels_weight_analyze/0.5_0.3_0.2/au_143819.xlsx","au_143819")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HYPERLINK("./new_k5/query_cmdrels_weight_analyze/0.5_0.3_0.2/au_145935.xlsx","au_145935")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HYPERLINK("./new_k5/query_cmdrels_weight_analyze/0.5_0.3_0.2/au_147241.xlsx","au_147241")</f>
        <v>au_147241</v>
      </c>
      <c r="B30">
        <v>0</v>
      </c>
      <c r="C30">
        <v>0</v>
      </c>
      <c r="D30">
        <v>0.29166666666666657</v>
      </c>
      <c r="E30">
        <v>0.29166666666666657</v>
      </c>
      <c r="F30">
        <v>0.29166666666666657</v>
      </c>
      <c r="G30">
        <v>0.47916666666666657</v>
      </c>
    </row>
    <row r="31" spans="1:7" x14ac:dyDescent="0.15">
      <c r="A31" t="str">
        <f>HYPERLINK("./new_k5/query_cmdrels_weight_analyze/0.5_0.3_0.2/au_147800.xlsx","au_147800")</f>
        <v>au_147800</v>
      </c>
      <c r="B31">
        <v>0</v>
      </c>
      <c r="C31">
        <v>0.33333333333333331</v>
      </c>
      <c r="D31">
        <v>0.1111111111111111</v>
      </c>
      <c r="E31">
        <v>0.33333333333333331</v>
      </c>
      <c r="F31">
        <v>0.1111111111111111</v>
      </c>
      <c r="G31">
        <v>0.33333333333333331</v>
      </c>
    </row>
    <row r="32" spans="1:7" x14ac:dyDescent="0.15">
      <c r="A32" t="str">
        <f>HYPERLINK("./new_k5/query_cmdrels_weight_analyze/0.5_0.3_0.2/au_148321.xlsx","au_148321")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0.40277777777777768</v>
      </c>
    </row>
    <row r="33" spans="1:7" x14ac:dyDescent="0.15">
      <c r="A33" t="str">
        <f>HYPERLINK("./new_k5/query_cmdrels_weight_analyze/0.5_0.3_0.2/au_148638.xlsx","au_148638")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HYPERLINK("./new_k5/query_cmdrels_weight_analyze/0.5_0.3_0.2/au_151049.xlsx","au_151049")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HYPERLINK("./new_k5/query_cmdrels_weight_analyze/0.5_0.3_0.2/au_151941.xlsx","au_151941")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HYPERLINK("./new_k5/query_cmdrels_weight_analyze/0.5_0.3_0.2/au_152297.xlsx","au_152297")</f>
        <v>au_152297</v>
      </c>
      <c r="B36">
        <v>0</v>
      </c>
      <c r="C36">
        <v>0</v>
      </c>
      <c r="D36">
        <v>7.1428571428571425E-2</v>
      </c>
      <c r="E36">
        <v>0.16666666666666671</v>
      </c>
      <c r="F36">
        <v>7.1428571428571425E-2</v>
      </c>
      <c r="G36">
        <v>0.25238095238095237</v>
      </c>
    </row>
    <row r="37" spans="1:7" x14ac:dyDescent="0.15">
      <c r="A37" t="str">
        <f>HYPERLINK("./new_k5/query_cmdrels_weight_analyze/0.5_0.3_0.2/au_153976.xlsx","au_153976")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0.16666666666666671</v>
      </c>
      <c r="F37">
        <v>0.33333333333333331</v>
      </c>
      <c r="G37">
        <v>0.35</v>
      </c>
    </row>
    <row r="38" spans="1:7" x14ac:dyDescent="0.15">
      <c r="A38" t="str">
        <f>HYPERLINK("./new_k5/query_cmdrels_weight_analyze/0.5_0.3_0.2/au_154431.xlsx","au_154431")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HYPERLINK("./new_k5/query_cmdrels_weight_analyze/0.5_0.3_0.2/au_159708.xlsx","au_159708")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0.33333333333333331</v>
      </c>
      <c r="F39">
        <v>0.33333333333333331</v>
      </c>
      <c r="G39">
        <v>0.33333333333333331</v>
      </c>
    </row>
    <row r="40" spans="1:7" x14ac:dyDescent="0.15">
      <c r="A40" t="str">
        <f>HYPERLINK("./new_k5/query_cmdrels_weight_analyze/0.5_0.3_0.2/au_160869.xlsx","au_160869")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HYPERLINK("./new_k5/query_cmdrels_weight_analyze/0.5_0.3_0.2/au_161313.xlsx","au_161313")</f>
        <v>au_161313</v>
      </c>
      <c r="B41">
        <v>0.5</v>
      </c>
      <c r="C41">
        <v>0</v>
      </c>
      <c r="D41">
        <v>0.5</v>
      </c>
      <c r="E41">
        <v>0.16666666666666671</v>
      </c>
      <c r="F41">
        <v>0.5</v>
      </c>
      <c r="G41">
        <v>0.16666666666666671</v>
      </c>
    </row>
    <row r="42" spans="1:7" x14ac:dyDescent="0.15">
      <c r="A42" t="str">
        <f>HYPERLINK("./new_k5/query_cmdrels_weight_analyze/0.5_0.3_0.2/au_162075.xlsx","au_162075")</f>
        <v>au_162075</v>
      </c>
      <c r="B42">
        <v>0.25</v>
      </c>
      <c r="C42">
        <v>0.25</v>
      </c>
      <c r="D42">
        <v>0.5</v>
      </c>
      <c r="E42">
        <v>0.5</v>
      </c>
      <c r="F42">
        <v>0.5</v>
      </c>
      <c r="G42">
        <v>0.5</v>
      </c>
    </row>
    <row r="43" spans="1:7" x14ac:dyDescent="0.15">
      <c r="A43" t="str">
        <f>HYPERLINK("./new_k5/query_cmdrels_weight_analyze/0.5_0.3_0.2/au_16277.xlsx","au_16277")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0.83333333333333337</v>
      </c>
    </row>
    <row r="44" spans="1:7" x14ac:dyDescent="0.15">
      <c r="A44" t="str">
        <f>HYPERLINK("./new_k5/query_cmdrels_weight_analyze/0.5_0.3_0.2/au_163155.xlsx","au_163155")</f>
        <v>au_163155</v>
      </c>
      <c r="B44">
        <v>0.125</v>
      </c>
      <c r="C44">
        <v>0.125</v>
      </c>
      <c r="D44">
        <v>0.375</v>
      </c>
      <c r="E44">
        <v>0.20833333333333329</v>
      </c>
      <c r="F44">
        <v>0.5</v>
      </c>
      <c r="G44">
        <v>0.40208333333333329</v>
      </c>
    </row>
    <row r="45" spans="1:7" x14ac:dyDescent="0.15">
      <c r="A45" t="str">
        <f>HYPERLINK("./new_k5/query_cmdrels_weight_analyze/0.5_0.3_0.2/au_164473.xlsx","au_164473")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HYPERLINK("./new_k5/query_cmdrels_weight_analyze/0.5_0.3_0.2/au_16584.xlsx","au_16584")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0.15151515151515149</v>
      </c>
      <c r="F46">
        <v>0.13636363636363641</v>
      </c>
      <c r="G46">
        <v>0.2196969696969697</v>
      </c>
    </row>
    <row r="47" spans="1:7" x14ac:dyDescent="0.15">
      <c r="A47" t="str">
        <f>HYPERLINK("./new_k5/query_cmdrels_weight_analyze/0.5_0.3_0.2/au_166420.xlsx","au_166420")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HYPERLINK("./new_k5/query_cmdrels_weight_analyze/0.5_0.3_0.2/au_169473.xlsx","au_169473")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0.16666666666666671</v>
      </c>
      <c r="F48">
        <v>0.43333333333333329</v>
      </c>
      <c r="G48">
        <v>0.35</v>
      </c>
    </row>
    <row r="49" spans="1:7" x14ac:dyDescent="0.15">
      <c r="A49" t="str">
        <f>HYPERLINK("./new_k5/query_cmdrels_weight_analyze/0.5_0.3_0.2/au_169516.xlsx","au_169516")</f>
        <v>au_169516</v>
      </c>
      <c r="B49">
        <v>0.25</v>
      </c>
      <c r="C49">
        <v>0.25</v>
      </c>
      <c r="D49">
        <v>0.25</v>
      </c>
      <c r="E49">
        <v>0.5</v>
      </c>
      <c r="F49">
        <v>0.25</v>
      </c>
      <c r="G49">
        <v>0.5</v>
      </c>
    </row>
    <row r="50" spans="1:7" x14ac:dyDescent="0.15">
      <c r="A50" t="str">
        <f>HYPERLINK("./new_k5/query_cmdrels_weight_analyze/0.5_0.3_0.2/au_174292.xlsx","au_174292")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HYPERLINK("./new_k5/query_cmdrels_weight_analyze/0.5_0.3_0.2/au_178481.xlsx","au_178481")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HYPERLINK("./new_k5/query_cmdrels_weight_analyze/0.5_0.3_0.2/au_180925.xlsx","au_180925")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HYPERLINK("./new_k5/query_cmdrels_weight_analyze/0.5_0.3_0.2/au_187888.xlsx","au_187888")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HYPERLINK("./new_k5/query_cmdrels_weight_analyze/0.5_0.3_0.2/au_191390.xlsx","au_191390")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HYPERLINK("./new_k5/query_cmdrels_weight_analyze/0.5_0.3_0.2/au_192798.xlsx","au_192798")</f>
        <v>au_192798</v>
      </c>
      <c r="B55">
        <v>0</v>
      </c>
      <c r="C55">
        <v>0</v>
      </c>
      <c r="D55">
        <v>0</v>
      </c>
      <c r="E55">
        <v>0.5</v>
      </c>
      <c r="F55">
        <v>0</v>
      </c>
      <c r="G55">
        <v>0.5</v>
      </c>
    </row>
    <row r="56" spans="1:7" x14ac:dyDescent="0.15">
      <c r="A56" t="str">
        <f>HYPERLINK("./new_k5/query_cmdrels_weight_analyze/0.5_0.3_0.2/au_201775.xlsx","au_201775")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0.33333333333333331</v>
      </c>
      <c r="F56">
        <v>0.66666666666666663</v>
      </c>
      <c r="G56">
        <v>0.70000000000000007</v>
      </c>
    </row>
    <row r="57" spans="1:7" x14ac:dyDescent="0.15">
      <c r="A57" t="str">
        <f>HYPERLINK("./new_k5/query_cmdrels_weight_analyze/0.5_0.3_0.2/au_204166.xlsx","au_204166")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HYPERLINK("./new_k5/query_cmdrels_weight_analyze/0.5_0.3_0.2/au_207447.xlsx","au_207447")</f>
        <v>au_207447</v>
      </c>
      <c r="B58">
        <v>0.33333333333333331</v>
      </c>
      <c r="C58">
        <v>0</v>
      </c>
      <c r="D58">
        <v>0.33333333333333331</v>
      </c>
      <c r="E58">
        <v>0.16666666666666671</v>
      </c>
      <c r="F58">
        <v>0.33333333333333331</v>
      </c>
      <c r="G58">
        <v>0.16666666666666671</v>
      </c>
    </row>
    <row r="59" spans="1:7" x14ac:dyDescent="0.15">
      <c r="A59" t="str">
        <f>HYPERLINK("./new_k5/query_cmdrels_weight_analyze/0.5_0.3_0.2/au_210680.xlsx","au_210680")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HYPERLINK("./new_k5/query_cmdrels_weight_analyze/0.5_0.3_0.2/au_214246.xlsx","au_214246")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HYPERLINK("./new_k5/query_cmdrels_weight_analyze/0.5_0.3_0.2/au_214643.xlsx","au_214643")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HYPERLINK("./new_k5/query_cmdrels_weight_analyze/0.5_0.3_0.2/au_2194.xlsx","au_2194")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HYPERLINK("./new_k5/query_cmdrels_weight_analyze/0.5_0.3_0.2/au_221962.xlsx","au_221962")</f>
        <v>au_221962</v>
      </c>
      <c r="B63">
        <v>0</v>
      </c>
      <c r="C63">
        <v>0</v>
      </c>
      <c r="D63">
        <v>5.5555555555555552E-2</v>
      </c>
      <c r="E63">
        <v>8.3333333333333329E-2</v>
      </c>
      <c r="F63">
        <v>0.1388888888888889</v>
      </c>
      <c r="G63">
        <v>0.26666666666666672</v>
      </c>
    </row>
    <row r="64" spans="1:7" x14ac:dyDescent="0.15">
      <c r="A64" t="str">
        <f>HYPERLINK("./new_k5/query_cmdrels_weight_analyze/0.5_0.3_0.2/au_22608.xlsx","au_22608")</f>
        <v>au_22608</v>
      </c>
      <c r="B64">
        <v>0.33333333333333331</v>
      </c>
      <c r="C64">
        <v>0</v>
      </c>
      <c r="D64">
        <v>0.33333333333333331</v>
      </c>
      <c r="E64">
        <v>0.16666666666666671</v>
      </c>
      <c r="F64">
        <v>0.33333333333333331</v>
      </c>
      <c r="G64">
        <v>0.33333333333333331</v>
      </c>
    </row>
    <row r="65" spans="1:7" x14ac:dyDescent="0.15">
      <c r="A65" t="str">
        <f>HYPERLINK("./new_k5/query_cmdrels_weight_analyze/0.5_0.3_0.2/au_230698.xlsx","au_230698")</f>
        <v>au_230698</v>
      </c>
      <c r="B65">
        <v>0.125</v>
      </c>
      <c r="C65">
        <v>0.125</v>
      </c>
      <c r="D65">
        <v>0.25</v>
      </c>
      <c r="E65">
        <v>0.20833333333333329</v>
      </c>
      <c r="F65">
        <v>0.32500000000000001</v>
      </c>
      <c r="G65">
        <v>0.30208333333333331</v>
      </c>
    </row>
    <row r="66" spans="1:7" x14ac:dyDescent="0.15">
      <c r="A66" t="str">
        <f>HYPERLINK("./new_k5/query_cmdrels_weight_analyze/0.5_0.3_0.2/au_232442.xlsx","au_232442")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HYPERLINK("./new_k5/query_cmdrels_weight_analyze/0.5_0.3_0.2/au_233378.xlsx","au_233378")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HYPERLINK("./new_k5/query_cmdrels_weight_analyze/0.5_0.3_0.2/au_24027.xlsx","au_24027")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HYPERLINK("./new_k5/query_cmdrels_weight_analyze/0.5_0.3_0.2/au_246647.xlsx","au_246647")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HYPERLINK("./new_k5/query_cmdrels_weight_analyze/0.5_0.3_0.2/au_254424.xlsx","au_254424")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HYPERLINK("./new_k5/query_cmdrels_weight_analyze/0.5_0.3_0.2/au_255890.xlsx","au_255890")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HYPERLINK("./new_k5/query_cmdrels_weight_analyze/0.5_0.3_0.2/au_257248.xlsx","au_257248")</f>
        <v>au_257248</v>
      </c>
      <c r="B72">
        <v>0</v>
      </c>
      <c r="C72">
        <v>0.14285714285714279</v>
      </c>
      <c r="D72">
        <v>0.16666666666666671</v>
      </c>
      <c r="E72">
        <v>0.14285714285714279</v>
      </c>
      <c r="F72">
        <v>0.25238095238095237</v>
      </c>
      <c r="G72">
        <v>0.3</v>
      </c>
    </row>
    <row r="73" spans="1:7" x14ac:dyDescent="0.15">
      <c r="A73" t="str">
        <f>HYPERLINK("./new_k5/query_cmdrels_weight_analyze/0.5_0.3_0.2/au_259354.xlsx","au_259354")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0.42857142857142849</v>
      </c>
    </row>
    <row r="74" spans="1:7" x14ac:dyDescent="0.15">
      <c r="A74" t="str">
        <f>HYPERLINK("./new_k5/query_cmdrels_weight_analyze/0.5_0.3_0.2/au_263378.xlsx","au_263378")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0.47499999999999998</v>
      </c>
    </row>
    <row r="75" spans="1:7" x14ac:dyDescent="0.15">
      <c r="A75" t="str">
        <f>HYPERLINK("./new_k5/query_cmdrels_weight_analyze/0.5_0.3_0.2/au_264215.xlsx","au_264215")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HYPERLINK("./new_k5/query_cmdrels_weight_analyze/0.5_0.3_0.2/au_265176.xlsx","au_265176")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HYPERLINK("./new_k5/query_cmdrels_weight_analyze/0.5_0.3_0.2/au_275704.xlsx","au_275704")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HYPERLINK("./new_k5/query_cmdrels_weight_analyze/0.5_0.3_0.2/au_276669.xlsx","au_276669")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HYPERLINK("./new_k5/query_cmdrels_weight_analyze/0.5_0.3_0.2/au_277565.xlsx","au_277565")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HYPERLINK("./new_k5/query_cmdrels_weight_analyze/0.5_0.3_0.2/au_278403.xlsx","au_278403")</f>
        <v>au_278403</v>
      </c>
      <c r="B80">
        <v>0</v>
      </c>
      <c r="C80">
        <v>0.25</v>
      </c>
      <c r="D80">
        <v>8.3333333333333329E-2</v>
      </c>
      <c r="E80">
        <v>0.25</v>
      </c>
      <c r="F80">
        <v>0.20833333333333329</v>
      </c>
      <c r="G80">
        <v>0.375</v>
      </c>
    </row>
    <row r="81" spans="1:7" x14ac:dyDescent="0.15">
      <c r="A81" t="str">
        <f>HYPERLINK("./new_k5/query_cmdrels_weight_analyze/0.5_0.3_0.2/au_28039.xlsx","au_28039")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HYPERLINK("./new_k5/query_cmdrels_weight_analyze/0.5_0.3_0.2/au_281509.xlsx","au_281509")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HYPERLINK("./new_k5/query_cmdrels_weight_analyze/0.5_0.3_0.2/au_282806.xlsx","au_282806")</f>
        <v>au_282806</v>
      </c>
      <c r="B83">
        <v>0</v>
      </c>
      <c r="C83">
        <v>0.33333333333333331</v>
      </c>
      <c r="D83">
        <v>0.38888888888888878</v>
      </c>
      <c r="E83">
        <v>0.55555555555555547</v>
      </c>
      <c r="F83">
        <v>0.38888888888888878</v>
      </c>
      <c r="G83">
        <v>0.75555555555555554</v>
      </c>
    </row>
    <row r="84" spans="1:7" x14ac:dyDescent="0.15">
      <c r="A84" t="str">
        <f>HYPERLINK("./new_k5/query_cmdrels_weight_analyze/0.5_0.3_0.2/au_283559.xlsx","au_283559")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HYPERLINK("./new_k5/query_cmdrels_weight_analyze/0.5_0.3_0.2/au_285539.xlsx","au_285539")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HYPERLINK("./new_k5/query_cmdrels_weight_analyze/0.5_0.3_0.2/au_287532.xlsx","au_287532")</f>
        <v>au_287532</v>
      </c>
      <c r="B86">
        <v>0</v>
      </c>
      <c r="C86">
        <v>0</v>
      </c>
      <c r="D86">
        <v>0</v>
      </c>
      <c r="E86">
        <v>8.3333333333333329E-2</v>
      </c>
      <c r="F86">
        <v>0</v>
      </c>
      <c r="G86">
        <v>8.3333333333333329E-2</v>
      </c>
    </row>
    <row r="87" spans="1:7" x14ac:dyDescent="0.15">
      <c r="A87" t="str">
        <f>HYPERLINK("./new_k5/query_cmdrels_weight_analyze/0.5_0.3_0.2/au_294257.xlsx","au_294257")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HYPERLINK("./new_k5/query_cmdrels_weight_analyze/0.5_0.3_0.2/au_296155.xlsx","au_296155")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HYPERLINK("./new_k5/query_cmdrels_weight_analyze/0.5_0.3_0.2/au_299975.xlsx","au_299975")</f>
        <v>au_299975</v>
      </c>
      <c r="B89">
        <v>0.25</v>
      </c>
      <c r="C89">
        <v>0</v>
      </c>
      <c r="D89">
        <v>0.5</v>
      </c>
      <c r="E89">
        <v>0.29166666666666657</v>
      </c>
      <c r="F89">
        <v>0.6875</v>
      </c>
      <c r="G89">
        <v>0.29166666666666657</v>
      </c>
    </row>
    <row r="90" spans="1:7" x14ac:dyDescent="0.15">
      <c r="A90" t="str">
        <f>HYPERLINK("./new_k5/query_cmdrels_weight_analyze/0.5_0.3_0.2/au_301096.xlsx","au_301096")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HYPERLINK("./new_k5/query_cmdrels_weight_analyze/0.5_0.3_0.2/au_303593.xlsx","au_303593")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HYPERLINK("./new_k5/query_cmdrels_weight_analyze/0.5_0.3_0.2/au_303849.xlsx","au_303849")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HYPERLINK("./new_k5/query_cmdrels_weight_analyze/0.5_0.3_0.2/au_307541.xlsx","au_307541")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HYPERLINK("./new_k5/query_cmdrels_weight_analyze/0.5_0.3_0.2/au_307688.xlsx","au_307688")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HYPERLINK("./new_k5/query_cmdrels_weight_analyze/0.5_0.3_0.2/au_309047.xlsx","au_309047")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HYPERLINK("./new_k5/query_cmdrels_weight_analyze/0.5_0.3_0.2/au_311558.xlsx","au_311558")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0.41666666666666657</v>
      </c>
    </row>
    <row r="97" spans="1:7" x14ac:dyDescent="0.15">
      <c r="A97" t="str">
        <f>HYPERLINK("./new_k5/query_cmdrels_weight_analyze/0.5_0.3_0.2/au_318973.xlsx","au_318973")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HYPERLINK("./new_k5/query_cmdrels_weight_analyze/0.5_0.3_0.2/au_3205.xlsx","au_3205")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HYPERLINK("./new_k5/query_cmdrels_weight_analyze/0.5_0.3_0.2/au_323131.xlsx","au_323131")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HYPERLINK("./new_k5/query_cmdrels_weight_analyze/0.5_0.3_0.2/au_323392.xlsx","au_323392")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HYPERLINK("./new_k5/query_cmdrels_weight_analyze/0.5_0.3_0.2/au_325368.xlsx","au_325368")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HYPERLINK("./new_k5/query_cmdrels_weight_analyze/0.5_0.3_0.2/au_328162.xlsx","au_328162")</f>
        <v>au_328162</v>
      </c>
      <c r="B102">
        <v>0.33333333333333331</v>
      </c>
      <c r="C102">
        <v>0.33333333333333331</v>
      </c>
      <c r="D102">
        <v>1</v>
      </c>
      <c r="E102">
        <v>0.33333333333333331</v>
      </c>
      <c r="F102">
        <v>1</v>
      </c>
      <c r="G102">
        <v>0.5</v>
      </c>
    </row>
    <row r="103" spans="1:7" x14ac:dyDescent="0.15">
      <c r="A103" t="str">
        <f>HYPERLINK("./new_k5/query_cmdrels_weight_analyze/0.5_0.3_0.2/au_330148.xlsx","au_330148")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HYPERLINK("./new_k5/query_cmdrels_weight_analyze/0.5_0.3_0.2/au_332315.xlsx","au_332315")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HYPERLINK("./new_k5/query_cmdrels_weight_analyze/0.5_0.3_0.2/au_334081.xlsx","au_334081")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HYPERLINK("./new_k5/query_cmdrels_weight_analyze/0.5_0.3_0.2/au_34077.xlsx","au_34077")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0.33333333333333331</v>
      </c>
      <c r="F106">
        <v>0.33333333333333331</v>
      </c>
      <c r="G106">
        <v>0.59166666666666667</v>
      </c>
    </row>
    <row r="107" spans="1:7" x14ac:dyDescent="0.15">
      <c r="A107" t="str">
        <f>HYPERLINK("./new_k5/query_cmdrels_weight_analyze/0.5_0.3_0.2/au_341428.xlsx","au_341428")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HYPERLINK("./new_k5/query_cmdrels_weight_analyze/0.5_0.3_0.2/au_341584.xlsx","au_341584")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HYPERLINK("./new_k5/query_cmdrels_weight_analyze/0.5_0.3_0.2/au_346864.xlsx","au_346864")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0.14285714285714279</v>
      </c>
      <c r="F109">
        <v>0.23809523809523811</v>
      </c>
      <c r="G109">
        <v>0.2142857142857143</v>
      </c>
    </row>
    <row r="110" spans="1:7" x14ac:dyDescent="0.15">
      <c r="A110" t="str">
        <f>HYPERLINK("./new_k5/query_cmdrels_weight_analyze/0.5_0.3_0.2/au_351765.xlsx","au_351765")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0.5</v>
      </c>
    </row>
    <row r="111" spans="1:7" x14ac:dyDescent="0.15">
      <c r="A111" t="str">
        <f>HYPERLINK("./new_k5/query_cmdrels_weight_analyze/0.5_0.3_0.2/au_35922.xlsx","au_35922")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HYPERLINK("./new_k5/query_cmdrels_weight_analyze/0.5_0.3_0.2/au_359856.xlsx","au_359856")</f>
        <v>au_359856</v>
      </c>
      <c r="B112">
        <v>0.25</v>
      </c>
      <c r="C112">
        <v>0.25</v>
      </c>
      <c r="D112">
        <v>0.75</v>
      </c>
      <c r="E112">
        <v>0.5</v>
      </c>
      <c r="F112">
        <v>0.95</v>
      </c>
      <c r="G112">
        <v>0.5</v>
      </c>
    </row>
    <row r="113" spans="1:7" x14ac:dyDescent="0.15">
      <c r="A113" t="str">
        <f>HYPERLINK("./new_k5/query_cmdrels_weight_analyze/0.5_0.3_0.2/au_360423.xlsx","au_360423")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HYPERLINK("./new_k5/query_cmdrels_weight_analyze/0.5_0.3_0.2/au_36287.xlsx","au_36287")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HYPERLINK("./new_k5/query_cmdrels_weight_analyze/0.5_0.3_0.2/au_366742.xlsx","au_366742")</f>
        <v>au_366742</v>
      </c>
      <c r="B115">
        <v>0</v>
      </c>
      <c r="C115">
        <v>0</v>
      </c>
      <c r="D115">
        <v>0</v>
      </c>
      <c r="E115">
        <v>0.125</v>
      </c>
      <c r="F115">
        <v>0</v>
      </c>
      <c r="G115">
        <v>0.25</v>
      </c>
    </row>
    <row r="116" spans="1:7" x14ac:dyDescent="0.15">
      <c r="A116" t="str">
        <f>HYPERLINK("./new_k5/query_cmdrels_weight_analyze/0.5_0.3_0.2/au_377937.xlsx","au_377937")</f>
        <v>au_377937</v>
      </c>
      <c r="B116">
        <v>0.25</v>
      </c>
      <c r="C116">
        <v>0.25</v>
      </c>
      <c r="D116">
        <v>0.5</v>
      </c>
      <c r="E116">
        <v>0.5</v>
      </c>
      <c r="F116">
        <v>0.5</v>
      </c>
      <c r="G116">
        <v>0.6875</v>
      </c>
    </row>
    <row r="117" spans="1:7" x14ac:dyDescent="0.15">
      <c r="A117" t="str">
        <f>HYPERLINK("./new_k5/query_cmdrels_weight_analyze/0.5_0.3_0.2/au_383997.xlsx","au_383997")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0.39285714285714279</v>
      </c>
    </row>
    <row r="118" spans="1:7" x14ac:dyDescent="0.15">
      <c r="A118" t="str">
        <f>HYPERLINK("./new_k5/query_cmdrels_weight_analyze/0.5_0.3_0.2/au_3883.xlsx","au_3883")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0.35</v>
      </c>
    </row>
    <row r="119" spans="1:7" x14ac:dyDescent="0.15">
      <c r="A119" t="str">
        <f>HYPERLINK("./new_k5/query_cmdrels_weight_analyze/0.5_0.3_0.2/au_396883.xlsx","au_396883")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HYPERLINK("./new_k5/query_cmdrels_weight_analyze/0.5_0.3_0.2/au_39760.xlsx","au_39760")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HYPERLINK("./new_k5/query_cmdrels_weight_analyze/0.5_0.3_0.2/au_398818.xlsx","au_398818")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HYPERLINK("./new_k5/query_cmdrels_weight_analyze/0.5_0.3_0.2/au_400807.xlsx","au_400807")</f>
        <v>au_400807</v>
      </c>
      <c r="B122">
        <v>0</v>
      </c>
      <c r="C122">
        <v>0.33333333333333331</v>
      </c>
      <c r="D122">
        <v>0.16666666666666671</v>
      </c>
      <c r="E122">
        <v>0.66666666666666663</v>
      </c>
      <c r="F122">
        <v>0.16666666666666671</v>
      </c>
      <c r="G122">
        <v>0.8666666666666667</v>
      </c>
    </row>
    <row r="123" spans="1:7" x14ac:dyDescent="0.15">
      <c r="A123" t="str">
        <f>HYPERLINK("./new_k5/query_cmdrels_weight_analyze/0.5_0.3_0.2/au_408611.xlsx","au_408611")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HYPERLINK("./new_k5/query_cmdrels_weight_analyze/0.5_0.3_0.2/au_414737.xlsx","au_414737")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HYPERLINK("./new_k5/query_cmdrels_weight_analyze/0.5_0.3_0.2/au_420722.xlsx","au_420722")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0.55555555555555547</v>
      </c>
      <c r="F125">
        <v>0.66666666666666663</v>
      </c>
      <c r="G125">
        <v>0.55555555555555547</v>
      </c>
    </row>
    <row r="126" spans="1:7" x14ac:dyDescent="0.15">
      <c r="A126" t="str">
        <f>HYPERLINK("./new_k5/query_cmdrels_weight_analyze/0.5_0.3_0.2/au_423942.xlsx","au_423942")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HYPERLINK("./new_k5/query_cmdrels_weight_analyze/0.5_0.3_0.2/au_430382.xlsx","au_430382")</f>
        <v>au_430382</v>
      </c>
      <c r="B127">
        <v>0</v>
      </c>
      <c r="C127">
        <v>0.25</v>
      </c>
      <c r="D127">
        <v>0.29166666666666657</v>
      </c>
      <c r="E127">
        <v>0.5</v>
      </c>
      <c r="F127">
        <v>0.29166666666666657</v>
      </c>
      <c r="G127">
        <v>0.5</v>
      </c>
    </row>
    <row r="128" spans="1:7" x14ac:dyDescent="0.15">
      <c r="A128" t="str">
        <f>HYPERLINK("./new_k5/query_cmdrels_weight_analyze/0.5_0.3_0.2/au_432836.xlsx","au_432836")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HYPERLINK("./new_k5/query_cmdrels_weight_analyze/0.5_0.3_0.2/au_440326.xlsx","au_440326")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HYPERLINK("./new_k5/query_cmdrels_weight_analyze/0.5_0.3_0.2/au_442914.xlsx","au_442914")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HYPERLINK("./new_k5/query_cmdrels_weight_analyze/0.5_0.3_0.2/au_443227.xlsx","au_443227")</f>
        <v>au_443227</v>
      </c>
      <c r="B131">
        <v>0.5</v>
      </c>
      <c r="C131">
        <v>0</v>
      </c>
      <c r="D131">
        <v>0.5</v>
      </c>
      <c r="E131">
        <v>0</v>
      </c>
      <c r="F131">
        <v>0.5</v>
      </c>
      <c r="G131">
        <v>0.125</v>
      </c>
    </row>
    <row r="132" spans="1:7" x14ac:dyDescent="0.15">
      <c r="A132" t="str">
        <f>HYPERLINK("./new_k5/query_cmdrels_weight_analyze/0.5_0.3_0.2/au_44534.xlsx","au_44534")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HYPERLINK("./new_k5/query_cmdrels_weight_analyze/0.5_0.3_0.2/au_451805.xlsx","au_451805")</f>
        <v>au_451805</v>
      </c>
      <c r="B133">
        <v>0.33333333333333331</v>
      </c>
      <c r="C133">
        <v>0</v>
      </c>
      <c r="D133">
        <v>0.33333333333333331</v>
      </c>
      <c r="E133">
        <v>0.1111111111111111</v>
      </c>
      <c r="F133">
        <v>0.33333333333333331</v>
      </c>
      <c r="G133">
        <v>0.1111111111111111</v>
      </c>
    </row>
    <row r="134" spans="1:7" x14ac:dyDescent="0.15">
      <c r="A134" t="str">
        <f>HYPERLINK("./new_k5/query_cmdrels_weight_analyze/0.5_0.3_0.2/au_464264.xlsx","au_464264")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0.16666666666666671</v>
      </c>
    </row>
    <row r="135" spans="1:7" x14ac:dyDescent="0.15">
      <c r="A135" t="str">
        <f>HYPERLINK("./new_k5/query_cmdrels_weight_analyze/0.5_0.3_0.2/au_468808.xlsx","au_468808")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HYPERLINK("./new_k5/query_cmdrels_weight_analyze/0.5_0.3_0.2/au_469143.xlsx","au_469143")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HYPERLINK("./new_k5/query_cmdrels_weight_analyze/0.5_0.3_0.2/au_470237.xlsx","au_470237")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HYPERLINK("./new_k5/query_cmdrels_weight_analyze/0.5_0.3_0.2/au_473037.xlsx","au_473037")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0.1</v>
      </c>
    </row>
    <row r="139" spans="1:7" x14ac:dyDescent="0.15">
      <c r="A139" t="str">
        <f>HYPERLINK("./new_k5/query_cmdrels_weight_analyze/0.5_0.3_0.2/au_48362.xlsx","au_48362")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HYPERLINK("./new_k5/query_cmdrels_weight_analyze/0.5_0.3_0.2/au_488435.xlsx","au_488435")</f>
        <v>au_488435</v>
      </c>
      <c r="B140">
        <v>0</v>
      </c>
      <c r="C140">
        <v>0</v>
      </c>
      <c r="D140">
        <v>0.125</v>
      </c>
      <c r="E140">
        <v>8.3333333333333329E-2</v>
      </c>
      <c r="F140">
        <v>0.25</v>
      </c>
      <c r="G140">
        <v>8.3333333333333329E-2</v>
      </c>
    </row>
    <row r="141" spans="1:7" x14ac:dyDescent="0.15">
      <c r="A141" t="str">
        <f>HYPERLINK("./new_k5/query_cmdrels_weight_analyze/0.5_0.3_0.2/au_493826.xlsx","au_493826")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HYPERLINK("./new_k5/query_cmdrels_weight_analyze/0.5_0.3_0.2/au_502110.xlsx","au_502110")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HYPERLINK("./new_k5/query_cmdrels_weight_analyze/0.5_0.3_0.2/au_50344.xlsx","au_50344")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HYPERLINK("./new_k5/query_cmdrels_weight_analyze/0.5_0.3_0.2/au_511467.xlsx","au_511467")</f>
        <v>au_511467</v>
      </c>
      <c r="B144">
        <v>0</v>
      </c>
      <c r="C144">
        <v>0.16666666666666671</v>
      </c>
      <c r="D144">
        <v>0.19444444444444439</v>
      </c>
      <c r="E144">
        <v>0.33333333333333331</v>
      </c>
      <c r="F144">
        <v>0.19444444444444439</v>
      </c>
      <c r="G144">
        <v>0.45833333333333331</v>
      </c>
    </row>
    <row r="145" spans="1:7" x14ac:dyDescent="0.15">
      <c r="A145" t="str">
        <f>HYPERLINK("./new_k5/query_cmdrels_weight_analyze/0.5_0.3_0.2/au_513046.xlsx","au_513046")</f>
        <v>au_513046</v>
      </c>
      <c r="B145">
        <v>0.25</v>
      </c>
      <c r="C145">
        <v>0</v>
      </c>
      <c r="D145">
        <v>0.5</v>
      </c>
      <c r="E145">
        <v>8.3333333333333329E-2</v>
      </c>
      <c r="F145">
        <v>0.5</v>
      </c>
      <c r="G145">
        <v>0.35833333333333328</v>
      </c>
    </row>
    <row r="146" spans="1:7" x14ac:dyDescent="0.15">
      <c r="A146" t="str">
        <f>HYPERLINK("./new_k5/query_cmdrels_weight_analyze/0.5_0.3_0.2/au_517354.xlsx","au_517354")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0.34523809523809518</v>
      </c>
    </row>
    <row r="147" spans="1:7" x14ac:dyDescent="0.15">
      <c r="A147" t="str">
        <f>HYPERLINK("./new_k5/query_cmdrels_weight_analyze/0.5_0.3_0.2/au_522431.xlsx","au_522431")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0.3833333333333333</v>
      </c>
    </row>
    <row r="148" spans="1:7" x14ac:dyDescent="0.15">
      <c r="A148" t="str">
        <f>HYPERLINK("./new_k5/query_cmdrels_weight_analyze/0.5_0.3_0.2/au_52773.xlsx","au_52773")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0.05</v>
      </c>
    </row>
    <row r="149" spans="1:7" x14ac:dyDescent="0.15">
      <c r="A149" t="str">
        <f>HYPERLINK("./new_k5/query_cmdrels_weight_analyze/0.5_0.3_0.2/au_528411.xlsx","au_528411")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HYPERLINK("./new_k5/query_cmdrels_weight_analyze/0.5_0.3_0.2/au_53263.xlsx","au_53263")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1</v>
      </c>
    </row>
    <row r="151" spans="1:7" x14ac:dyDescent="0.15">
      <c r="A151" t="str">
        <f>HYPERLINK("./new_k5/query_cmdrels_weight_analyze/0.5_0.3_0.2/au_53444.xlsx","au_53444")</f>
        <v>au_53444</v>
      </c>
      <c r="B151">
        <v>0.5</v>
      </c>
      <c r="C151">
        <v>0</v>
      </c>
      <c r="D151">
        <v>0.5</v>
      </c>
      <c r="E151">
        <v>0.16666666666666671</v>
      </c>
      <c r="F151">
        <v>0.5</v>
      </c>
      <c r="G151">
        <v>0.16666666666666671</v>
      </c>
    </row>
    <row r="152" spans="1:7" x14ac:dyDescent="0.15">
      <c r="A152" t="str">
        <f>HYPERLINK("./new_k5/query_cmdrels_weight_analyze/0.5_0.3_0.2/au_538208.xlsx","au_538208")</f>
        <v>au_538208</v>
      </c>
      <c r="B152">
        <v>0.125</v>
      </c>
      <c r="C152">
        <v>0.125</v>
      </c>
      <c r="D152">
        <v>0.375</v>
      </c>
      <c r="E152">
        <v>0.25</v>
      </c>
      <c r="F152">
        <v>0.5</v>
      </c>
      <c r="G152">
        <v>0.44374999999999998</v>
      </c>
    </row>
    <row r="153" spans="1:7" x14ac:dyDescent="0.15">
      <c r="A153" t="str">
        <f>HYPERLINK("./new_k5/query_cmdrels_weight_analyze/0.5_0.3_0.2/au_53822.xlsx","au_53822")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HYPERLINK("./new_k5/query_cmdrels_weight_analyze/0.5_0.3_0.2/au_539243.xlsx","au_539243")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</v>
      </c>
    </row>
    <row r="155" spans="1:7" x14ac:dyDescent="0.15">
      <c r="A155" t="str">
        <f>HYPERLINK("./new_k5/query_cmdrels_weight_analyze/0.5_0.3_0.2/au_558280.xlsx","au_558280")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HYPERLINK("./new_k5/query_cmdrels_weight_analyze/0.5_0.3_0.2/au_558669.xlsx","au_558669")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HYPERLINK("./new_k5/query_cmdrels_weight_analyze/0.5_0.3_0.2/au_55868.xlsx","au_55868")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HYPERLINK("./new_k5/query_cmdrels_weight_analyze/0.5_0.3_0.2/au_561.xlsx","au_561")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0.5</v>
      </c>
    </row>
    <row r="159" spans="1:7" x14ac:dyDescent="0.15">
      <c r="A159" t="str">
        <f>HYPERLINK("./new_k5/query_cmdrels_weight_analyze/0.5_0.3_0.2/au_564567.xlsx","au_564567")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HYPERLINK("./new_k5/query_cmdrels_weight_analyze/0.5_0.3_0.2/au_57994.xlsx","au_57994")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0.5714285714285714</v>
      </c>
    </row>
    <row r="161" spans="1:7" x14ac:dyDescent="0.15">
      <c r="A161" t="str">
        <f>HYPERLINK("./new_k5/query_cmdrels_weight_analyze/0.5_0.3_0.2/au_589210.xlsx","au_589210")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0.35</v>
      </c>
    </row>
    <row r="162" spans="1:7" x14ac:dyDescent="0.15">
      <c r="A162" t="str">
        <f>HYPERLINK("./new_k5/query_cmdrels_weight_analyze/0.5_0.3_0.2/au_5911.xlsx","au_5911")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HYPERLINK("./new_k5/query_cmdrels_weight_analyze/0.5_0.3_0.2/au_59356.xlsx","au_59356")</f>
        <v>au_59356</v>
      </c>
      <c r="B163">
        <v>0</v>
      </c>
      <c r="C163">
        <v>0</v>
      </c>
      <c r="D163">
        <v>0.16666666666666671</v>
      </c>
      <c r="E163">
        <v>0</v>
      </c>
      <c r="F163">
        <v>0.16666666666666671</v>
      </c>
      <c r="G163">
        <v>0</v>
      </c>
    </row>
    <row r="164" spans="1:7" x14ac:dyDescent="0.15">
      <c r="A164" t="str">
        <f>HYPERLINK("./new_k5/query_cmdrels_weight_analyze/0.5_0.3_0.2/au_609850.xlsx","au_609850")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HYPERLINK("./new_k5/query_cmdrels_weight_analyze/0.5_0.3_0.2/au_61408.xlsx","au_61408")</f>
        <v>au_61408</v>
      </c>
      <c r="B165">
        <v>0</v>
      </c>
      <c r="C165">
        <v>0.33333333333333331</v>
      </c>
      <c r="D165">
        <v>0.16666666666666671</v>
      </c>
      <c r="E165">
        <v>0.33333333333333331</v>
      </c>
      <c r="F165">
        <v>0.16666666666666671</v>
      </c>
      <c r="G165">
        <v>0.33333333333333331</v>
      </c>
    </row>
    <row r="166" spans="1:7" x14ac:dyDescent="0.15">
      <c r="A166" t="str">
        <f>HYPERLINK("./new_k5/query_cmdrels_weight_analyze/0.5_0.3_0.2/au_617850.xlsx","au_617850")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HYPERLINK("./new_k5/query_cmdrels_weight_analyze/0.5_0.3_0.2/au_62073.xlsx","au_62073")</f>
        <v>au_62073</v>
      </c>
      <c r="B167">
        <v>0</v>
      </c>
      <c r="C167">
        <v>0.2</v>
      </c>
      <c r="D167">
        <v>0.23333333333333331</v>
      </c>
      <c r="E167">
        <v>0.4</v>
      </c>
      <c r="F167">
        <v>0.23333333333333331</v>
      </c>
      <c r="G167">
        <v>0.71</v>
      </c>
    </row>
    <row r="168" spans="1:7" x14ac:dyDescent="0.15">
      <c r="A168" t="str">
        <f>HYPERLINK("./new_k5/query_cmdrels_weight_analyze/0.5_0.3_0.2/au_620930.xlsx","au_620930")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0.45333333333333331</v>
      </c>
    </row>
    <row r="169" spans="1:7" x14ac:dyDescent="0.15">
      <c r="A169" t="str">
        <f>HYPERLINK("./new_k5/query_cmdrels_weight_analyze/0.5_0.3_0.2/au_62492.xlsx","au_62492")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HYPERLINK("./new_k5/query_cmdrels_weight_analyze/0.5_0.3_0.2/au_626078.xlsx","au_626078")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HYPERLINK("./new_k5/query_cmdrels_weight_analyze/0.5_0.3_0.2/au_636944.xlsx","au_636944")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HYPERLINK("./new_k5/query_cmdrels_weight_analyze/0.5_0.3_0.2/au_648603.xlsx","au_648603")</f>
        <v>au_648603</v>
      </c>
      <c r="B172">
        <v>0.25</v>
      </c>
      <c r="C172">
        <v>0.25</v>
      </c>
      <c r="D172">
        <v>0.25</v>
      </c>
      <c r="E172">
        <v>0.41666666666666657</v>
      </c>
      <c r="F172">
        <v>0.25</v>
      </c>
      <c r="G172">
        <v>0.41666666666666657</v>
      </c>
    </row>
    <row r="173" spans="1:7" x14ac:dyDescent="0.15">
      <c r="A173" t="str">
        <f>HYPERLINK("./new_k5/query_cmdrels_weight_analyze/0.5_0.3_0.2/au_65331.xlsx","au_65331")</f>
        <v>au_65331</v>
      </c>
      <c r="B173">
        <v>0</v>
      </c>
      <c r="C173">
        <v>0.16666666666666671</v>
      </c>
      <c r="D173">
        <v>8.3333333333333329E-2</v>
      </c>
      <c r="E173">
        <v>0.27777777777777768</v>
      </c>
      <c r="F173">
        <v>0.16666666666666671</v>
      </c>
      <c r="G173">
        <v>0.27777777777777768</v>
      </c>
    </row>
    <row r="174" spans="1:7" x14ac:dyDescent="0.15">
      <c r="A174" t="str">
        <f>HYPERLINK("./new_k5/query_cmdrels_weight_analyze/0.5_0.3_0.2/au_66000.xlsx","au_66000")</f>
        <v>au_66000</v>
      </c>
      <c r="B174">
        <v>0</v>
      </c>
      <c r="C174">
        <v>0.2</v>
      </c>
      <c r="D174">
        <v>0</v>
      </c>
      <c r="E174">
        <v>0.33333333333333331</v>
      </c>
      <c r="F174">
        <v>0</v>
      </c>
      <c r="G174">
        <v>0.64333333333333331</v>
      </c>
    </row>
    <row r="175" spans="1:7" x14ac:dyDescent="0.15">
      <c r="A175" t="str">
        <f>HYPERLINK("./new_k5/query_cmdrels_weight_analyze/0.5_0.3_0.2/au_660846.xlsx","au_660846")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HYPERLINK("./new_k5/query_cmdrels_weight_analyze/0.5_0.3_0.2/au_662935.xlsx","au_662935")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0.34375</v>
      </c>
    </row>
    <row r="177" spans="1:7" x14ac:dyDescent="0.15">
      <c r="A177" t="str">
        <f>HYPERLINK("./new_k5/query_cmdrels_weight_analyze/0.5_0.3_0.2/au_67663.xlsx","au_67663")</f>
        <v>au_67663</v>
      </c>
      <c r="B177">
        <v>0</v>
      </c>
      <c r="C177">
        <v>0.25</v>
      </c>
      <c r="D177">
        <v>0.29166666666666657</v>
      </c>
      <c r="E177">
        <v>0.75</v>
      </c>
      <c r="F177">
        <v>0.29166666666666657</v>
      </c>
      <c r="G177">
        <v>0.75</v>
      </c>
    </row>
    <row r="178" spans="1:7" x14ac:dyDescent="0.15">
      <c r="A178" t="str">
        <f>HYPERLINK("./new_k5/query_cmdrels_weight_analyze/0.5_0.3_0.2/au_68028.xlsx","au_68028")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0.2857142857142857</v>
      </c>
      <c r="F178">
        <v>0.37142857142857139</v>
      </c>
      <c r="G178">
        <v>0.39285714285714279</v>
      </c>
    </row>
    <row r="179" spans="1:7" x14ac:dyDescent="0.15">
      <c r="A179" t="str">
        <f>HYPERLINK("./new_k5/query_cmdrels_weight_analyze/0.5_0.3_0.2/au_681312.xlsx","au_681312")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0.23809523809523811</v>
      </c>
      <c r="F179">
        <v>0.42857142857142849</v>
      </c>
      <c r="G179">
        <v>0.34523809523809518</v>
      </c>
    </row>
    <row r="180" spans="1:7" x14ac:dyDescent="0.15">
      <c r="A180" t="str">
        <f>HYPERLINK("./new_k5/query_cmdrels_weight_analyze/0.5_0.3_0.2/au_686239.xlsx","au_686239")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HYPERLINK("./new_k5/query_cmdrels_weight_analyze/0.5_0.3_0.2/au_68809.xlsx","au_68809")</f>
        <v>au_68809</v>
      </c>
      <c r="B181">
        <v>0.125</v>
      </c>
      <c r="C181">
        <v>0.125</v>
      </c>
      <c r="D181">
        <v>0.20833333333333329</v>
      </c>
      <c r="E181">
        <v>0.125</v>
      </c>
      <c r="F181">
        <v>0.28333333333333333</v>
      </c>
      <c r="G181">
        <v>0.26250000000000001</v>
      </c>
    </row>
    <row r="182" spans="1:7" x14ac:dyDescent="0.15">
      <c r="A182" t="str">
        <f>HYPERLINK("./new_k5/query_cmdrels_weight_analyze/0.5_0.3_0.2/au_69556.xlsx","au_69556")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HYPERLINK("./new_k5/query_cmdrels_weight_analyze/0.5_0.3_0.2/au_698993.xlsx","au_698993")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HYPERLINK("./new_k5/query_cmdrels_weight_analyze/0.5_0.3_0.2/au_707881.xlsx","au_707881")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HYPERLINK("./new_k5/query_cmdrels_weight_analyze/0.5_0.3_0.2/au_709594.xlsx","au_709594")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HYPERLINK("./new_k5/query_cmdrels_weight_analyze/0.5_0.3_0.2/au_71309.xlsx","au_71309")</f>
        <v>au_71309</v>
      </c>
      <c r="B186">
        <v>0.125</v>
      </c>
      <c r="C186">
        <v>0.125</v>
      </c>
      <c r="D186">
        <v>0.20833333333333329</v>
      </c>
      <c r="E186">
        <v>0.20833333333333329</v>
      </c>
      <c r="F186">
        <v>0.20833333333333329</v>
      </c>
      <c r="G186">
        <v>0.30208333333333331</v>
      </c>
    </row>
    <row r="187" spans="1:7" x14ac:dyDescent="0.15">
      <c r="A187" t="str">
        <f>HYPERLINK("./new_k5/query_cmdrels_weight_analyze/0.5_0.3_0.2/au_7138.xlsx","au_7138")</f>
        <v>au_7138</v>
      </c>
      <c r="B187">
        <v>0.25</v>
      </c>
      <c r="C187">
        <v>0</v>
      </c>
      <c r="D187">
        <v>0.75</v>
      </c>
      <c r="E187">
        <v>0</v>
      </c>
      <c r="F187">
        <v>0.75</v>
      </c>
      <c r="G187">
        <v>6.25E-2</v>
      </c>
    </row>
    <row r="188" spans="1:7" x14ac:dyDescent="0.15">
      <c r="A188" t="str">
        <f>HYPERLINK("./new_k5/query_cmdrels_weight_analyze/0.5_0.3_0.2/au_72549.xlsx","au_72549")</f>
        <v>au_72549</v>
      </c>
      <c r="B188">
        <v>0</v>
      </c>
      <c r="C188">
        <v>0.25</v>
      </c>
      <c r="D188">
        <v>0</v>
      </c>
      <c r="E188">
        <v>0.25</v>
      </c>
      <c r="F188">
        <v>0</v>
      </c>
      <c r="G188">
        <v>0.25</v>
      </c>
    </row>
    <row r="189" spans="1:7" x14ac:dyDescent="0.15">
      <c r="A189" t="str">
        <f>HYPERLINK("./new_k5/query_cmdrels_weight_analyze/0.5_0.3_0.2/au_740805.xlsx","au_740805")</f>
        <v>au_740805</v>
      </c>
      <c r="B189">
        <v>0.25</v>
      </c>
      <c r="C189">
        <v>0</v>
      </c>
      <c r="D189">
        <v>0.41666666666666657</v>
      </c>
      <c r="E189">
        <v>8.3333333333333329E-2</v>
      </c>
      <c r="F189">
        <v>0.41666666666666657</v>
      </c>
      <c r="G189">
        <v>0.18333333333333329</v>
      </c>
    </row>
    <row r="190" spans="1:7" x14ac:dyDescent="0.15">
      <c r="A190" t="str">
        <f>HYPERLINK("./new_k5/query_cmdrels_weight_analyze/0.5_0.3_0.2/au_760796.xlsx","au_760796")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HYPERLINK("./new_k5/query_cmdrels_weight_analyze/0.5_0.3_0.2/au_762846.xlsx","au_762846")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0.45833333333333331</v>
      </c>
    </row>
    <row r="192" spans="1:7" x14ac:dyDescent="0.15">
      <c r="A192" t="str">
        <f>HYPERLINK("./new_k5/query_cmdrels_weight_analyze/0.5_0.3_0.2/au_767786.xlsx","au_767786")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0.76</v>
      </c>
    </row>
    <row r="193" spans="1:7" x14ac:dyDescent="0.15">
      <c r="A193" t="str">
        <f>HYPERLINK("./new_k5/query_cmdrels_weight_analyze/0.5_0.3_0.2/au_778906.xlsx","au_778906")</f>
        <v>au_778906</v>
      </c>
      <c r="B193">
        <v>0.2</v>
      </c>
      <c r="C193">
        <v>0.2</v>
      </c>
      <c r="D193">
        <v>0.33333333333333331</v>
      </c>
      <c r="E193">
        <v>0.6</v>
      </c>
      <c r="F193">
        <v>0.33333333333333331</v>
      </c>
      <c r="G193">
        <v>0.6</v>
      </c>
    </row>
    <row r="194" spans="1:7" x14ac:dyDescent="0.15">
      <c r="A194" t="str">
        <f>HYPERLINK("./new_k5/query_cmdrels_weight_analyze/0.5_0.3_0.2/au_818929.xlsx","au_818929")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0.42</v>
      </c>
    </row>
    <row r="195" spans="1:7" x14ac:dyDescent="0.15">
      <c r="A195" t="str">
        <f>HYPERLINK("./new_k5/query_cmdrels_weight_analyze/0.5_0.3_0.2/au_844876.xlsx","au_844876")</f>
        <v>au_844876</v>
      </c>
      <c r="B195">
        <v>0.5</v>
      </c>
      <c r="C195">
        <v>0.5</v>
      </c>
      <c r="D195">
        <v>0.5</v>
      </c>
      <c r="E195">
        <v>0.83333333333333326</v>
      </c>
      <c r="F195">
        <v>0.5</v>
      </c>
      <c r="G195">
        <v>0.83333333333333326</v>
      </c>
    </row>
    <row r="196" spans="1:7" x14ac:dyDescent="0.15">
      <c r="A196" t="str">
        <f>HYPERLINK("./new_k5/query_cmdrels_weight_analyze/0.5_0.3_0.2/au_85318.xlsx","au_85318")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0.4</v>
      </c>
    </row>
    <row r="197" spans="1:7" x14ac:dyDescent="0.15">
      <c r="A197" t="str">
        <f>HYPERLINK("./new_k5/query_cmdrels_weight_analyze/0.5_0.3_0.2/au_854332.xlsx","au_854332")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HYPERLINK("./new_k5/query_cmdrels_weight_analyze/0.5_0.3_0.2/au_854373.xlsx","au_854373")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HYPERLINK("./new_k5/query_cmdrels_weight_analyze/0.5_0.3_0.2/au_86843.xlsx","au_86843")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HYPERLINK("./new_k5/query_cmdrels_weight_analyze/0.5_0.3_0.2/au_88108.xlsx","au_88108")</f>
        <v>au_88108</v>
      </c>
      <c r="B200">
        <v>0</v>
      </c>
      <c r="C200">
        <v>0</v>
      </c>
      <c r="D200">
        <v>0.1</v>
      </c>
      <c r="E200">
        <v>0</v>
      </c>
      <c r="F200">
        <v>0.1</v>
      </c>
      <c r="G200">
        <v>0.04</v>
      </c>
    </row>
    <row r="201" spans="1:7" x14ac:dyDescent="0.15">
      <c r="A201" t="str">
        <f>HYPERLINK("./new_k5/query_cmdrels_weight_analyze/0.5_0.3_0.2/au_90214.xlsx","au_90214")</f>
        <v>au_90214</v>
      </c>
      <c r="B201">
        <v>0</v>
      </c>
      <c r="C201">
        <v>0</v>
      </c>
      <c r="D201">
        <v>0.16666666666666671</v>
      </c>
      <c r="E201">
        <v>0</v>
      </c>
      <c r="F201">
        <v>0.16666666666666671</v>
      </c>
      <c r="G201">
        <v>0.2166666666666667</v>
      </c>
    </row>
    <row r="202" spans="1:7" x14ac:dyDescent="0.15">
      <c r="A202" t="str">
        <f>HYPERLINK("./new_k5/query_cmdrels_weight_analyze/0.5_0.3_0.2/au_90339.xlsx","au_90339")</f>
        <v>au_90339</v>
      </c>
      <c r="B202">
        <v>0</v>
      </c>
      <c r="C202">
        <v>0.14285714285714279</v>
      </c>
      <c r="D202">
        <v>4.7619047619047623E-2</v>
      </c>
      <c r="E202">
        <v>0.23809523809523811</v>
      </c>
      <c r="F202">
        <v>0.2047619047619047</v>
      </c>
      <c r="G202">
        <v>0.34523809523809518</v>
      </c>
    </row>
    <row r="203" spans="1:7" x14ac:dyDescent="0.15">
      <c r="A203" t="str">
        <f>HYPERLINK("./new_k5/query_cmdrels_weight_analyze/0.5_0.3_0.2/au_91286.xlsx","au_91286")</f>
        <v>au_91286</v>
      </c>
      <c r="B203">
        <v>0.5</v>
      </c>
      <c r="C203">
        <v>0</v>
      </c>
      <c r="D203">
        <v>0.5</v>
      </c>
      <c r="E203">
        <v>0.16666666666666671</v>
      </c>
      <c r="F203">
        <v>0.5</v>
      </c>
      <c r="G203">
        <v>0.16666666666666671</v>
      </c>
    </row>
    <row r="204" spans="1:7" x14ac:dyDescent="0.15">
      <c r="A204" t="str">
        <f>HYPERLINK("./new_k5/query_cmdrels_weight_analyze/0.5_0.3_0.2/au_9135.xlsx","au_9135")</f>
        <v>au_9135</v>
      </c>
      <c r="B204">
        <v>0.1</v>
      </c>
      <c r="C204">
        <v>0</v>
      </c>
      <c r="D204">
        <v>0.16666666666666671</v>
      </c>
      <c r="E204">
        <v>0.1166666666666667</v>
      </c>
      <c r="F204">
        <v>0.24166666666666661</v>
      </c>
      <c r="G204">
        <v>0.19166666666666671</v>
      </c>
    </row>
    <row r="205" spans="1:7" x14ac:dyDescent="0.15">
      <c r="A205" t="str">
        <f>HYPERLINK("./new_k5/query_cmdrels_weight_analyze/0.5_0.3_0.2/au_935569.xlsx","au_935569")</f>
        <v>au_935569</v>
      </c>
      <c r="B205">
        <v>0.14285714285714279</v>
      </c>
      <c r="C205">
        <v>0</v>
      </c>
      <c r="D205">
        <v>0.42857142857142849</v>
      </c>
      <c r="E205">
        <v>0.16666666666666671</v>
      </c>
      <c r="F205">
        <v>0.54285714285714282</v>
      </c>
      <c r="G205">
        <v>0.16666666666666671</v>
      </c>
    </row>
    <row r="206" spans="1:7" x14ac:dyDescent="0.15">
      <c r="A206" t="str">
        <f>HYPERLINK("./new_k5/query_cmdrels_weight_analyze/0.5_0.3_0.2/au_97936.xlsx","au_97936")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HYPERLINK("./new_k5/query_cmdrels_weight_analyze/0.5_0.3_0.2/so_10235778.xlsx","so_10235778")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HYPERLINK("./new_k5/query_cmdrels_weight_analyze/0.5_0.3_0.2/so_1045910.xlsx","so_1045910")</f>
        <v>so_1045910</v>
      </c>
      <c r="B208">
        <v>0.25</v>
      </c>
      <c r="C208">
        <v>0</v>
      </c>
      <c r="D208">
        <v>0.25</v>
      </c>
      <c r="E208">
        <v>0.29166666666666657</v>
      </c>
      <c r="F208">
        <v>0.25</v>
      </c>
      <c r="G208">
        <v>0.29166666666666657</v>
      </c>
    </row>
    <row r="209" spans="1:7" x14ac:dyDescent="0.15">
      <c r="A209" t="str">
        <f>HYPERLINK("./new_k5/query_cmdrels_weight_analyze/0.5_0.3_0.2/so_10557360.xlsx","so_10557360")</f>
        <v>so_10557360</v>
      </c>
      <c r="B209">
        <v>0</v>
      </c>
      <c r="C209">
        <v>0</v>
      </c>
      <c r="D209">
        <v>0</v>
      </c>
      <c r="E209">
        <v>6.6666666666666666E-2</v>
      </c>
      <c r="F209">
        <v>0</v>
      </c>
      <c r="G209">
        <v>6.6666666666666666E-2</v>
      </c>
    </row>
    <row r="210" spans="1:7" x14ac:dyDescent="0.15">
      <c r="A210" t="str">
        <f>HYPERLINK("./new_k5/query_cmdrels_weight_analyze/0.5_0.3_0.2/so_1058047.xlsx","so_1058047")</f>
        <v>so_1058047</v>
      </c>
      <c r="B210">
        <v>0.25</v>
      </c>
      <c r="C210">
        <v>0.25</v>
      </c>
      <c r="D210">
        <v>0.25</v>
      </c>
      <c r="E210">
        <v>0.41666666666666657</v>
      </c>
      <c r="F210">
        <v>0.25</v>
      </c>
      <c r="G210">
        <v>0.41666666666666657</v>
      </c>
    </row>
    <row r="211" spans="1:7" x14ac:dyDescent="0.15">
      <c r="A211" t="str">
        <f>HYPERLINK("./new_k5/query_cmdrels_weight_analyze/0.5_0.3_0.2/so_10829402.xlsx","so_10829402")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HYPERLINK("./new_k5/query_cmdrels_weight_analyze/0.5_0.3_0.2/so_1088098.xlsx","so_1088098")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0.25</v>
      </c>
    </row>
    <row r="213" spans="1:7" x14ac:dyDescent="0.15">
      <c r="A213" t="str">
        <f>HYPERLINK("./new_k5/query_cmdrels_weight_analyze/0.5_0.3_0.2/so_10990949.xlsx","so_10990949")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0.5</v>
      </c>
    </row>
    <row r="214" spans="1:7" x14ac:dyDescent="0.15">
      <c r="A214" t="str">
        <f>HYPERLINK("./new_k5/query_cmdrels_weight_analyze/0.5_0.3_0.2/so_11211705.xlsx","so_11211705")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HYPERLINK("./new_k5/query_cmdrels_weight_analyze/0.5_0.3_0.2/so_112932.xlsx","so_112932")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HYPERLINK("./new_k5/query_cmdrels_weight_analyze/0.5_0.3_0.2/so_11392189.xlsx","so_11392189")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8.3333333333333329E-2</v>
      </c>
    </row>
    <row r="217" spans="1:7" x14ac:dyDescent="0.15">
      <c r="A217" t="str">
        <f>HYPERLINK("./new_k5/query_cmdrels_weight_analyze/0.5_0.3_0.2/so_1183183.xlsx","so_1183183")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0.25</v>
      </c>
    </row>
    <row r="218" spans="1:7" x14ac:dyDescent="0.15">
      <c r="A218" t="str">
        <f>HYPERLINK("./new_k5/query_cmdrels_weight_analyze/0.5_0.3_0.2/so_1194882.xlsx","so_1194882")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HYPERLINK("./new_k5/query_cmdrels_weight_analyze/0.5_0.3_0.2/so_12120935.xlsx","so_12120935")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HYPERLINK("./new_k5/query_cmdrels_weight_analyze/0.5_0.3_0.2/so_12313384.xlsx","so_12313384")</f>
        <v>so_12313384</v>
      </c>
      <c r="B220">
        <v>0</v>
      </c>
      <c r="C220">
        <v>0.33333333333333331</v>
      </c>
      <c r="D220">
        <v>0.16666666666666671</v>
      </c>
      <c r="E220">
        <v>0.55555555555555547</v>
      </c>
      <c r="F220">
        <v>0.16666666666666671</v>
      </c>
      <c r="G220">
        <v>0.55555555555555547</v>
      </c>
    </row>
    <row r="221" spans="1:7" x14ac:dyDescent="0.15">
      <c r="A221" t="str">
        <f>HYPERLINK("./new_k5/query_cmdrels_weight_analyze/0.5_0.3_0.2/so_12392598.xlsx","so_12392598")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HYPERLINK("./new_k5/query_cmdrels_weight_analyze/0.5_0.3_0.2/so_1241801.xlsx","so_1241801")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HYPERLINK("./new_k5/query_cmdrels_weight_analyze/0.5_0.3_0.2/so_12522269.xlsx","so_12522269")</f>
        <v>so_12522269</v>
      </c>
      <c r="B223">
        <v>0.2</v>
      </c>
      <c r="C223">
        <v>0.2</v>
      </c>
      <c r="D223">
        <v>0.2</v>
      </c>
      <c r="E223">
        <v>0.2</v>
      </c>
      <c r="F223">
        <v>0.28000000000000003</v>
      </c>
      <c r="G223">
        <v>0.2</v>
      </c>
    </row>
    <row r="224" spans="1:7" x14ac:dyDescent="0.15">
      <c r="A224" t="str">
        <f>HYPERLINK("./new_k5/query_cmdrels_weight_analyze/0.5_0.3_0.2/so_1293907.xlsx","so_1293907")</f>
        <v>so_1293907</v>
      </c>
      <c r="B224">
        <v>0</v>
      </c>
      <c r="C224">
        <v>0.33333333333333331</v>
      </c>
      <c r="D224">
        <v>0</v>
      </c>
      <c r="E224">
        <v>0.66666666666666663</v>
      </c>
      <c r="F224">
        <v>8.3333333333333329E-2</v>
      </c>
      <c r="G224">
        <v>0.8666666666666667</v>
      </c>
    </row>
    <row r="225" spans="1:7" x14ac:dyDescent="0.15">
      <c r="A225" t="str">
        <f>HYPERLINK("./new_k5/query_cmdrels_weight_analyze/0.5_0.3_0.2/so_13428910.xlsx","so_13428910")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HYPERLINK("./new_k5/query_cmdrels_weight_analyze/0.5_0.3_0.2/so_135688.xlsx","so_135688")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HYPERLINK("./new_k5/query_cmdrels_weight_analyze/0.5_0.3_0.2/so_13778273.xlsx","so_13778273")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HYPERLINK("./new_k5/query_cmdrels_weight_analyze/0.5_0.3_0.2/so_1405611.xlsx","so_1405611")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0.16666666666666671</v>
      </c>
      <c r="F228">
        <v>0.33333333333333331</v>
      </c>
      <c r="G228">
        <v>0.16666666666666671</v>
      </c>
    </row>
    <row r="229" spans="1:7" x14ac:dyDescent="0.15">
      <c r="A229" t="str">
        <f>HYPERLINK("./new_k5/query_cmdrels_weight_analyze/0.5_0.3_0.2/so_14300794.xlsx","so_14300794")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HYPERLINK("./new_k5/query_cmdrels_weight_analyze/0.5_0.3_0.2/so_143791.xlsx","so_143791")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HYPERLINK("./new_k5/query_cmdrels_weight_analyze/0.5_0.3_0.2/so_14750650.xlsx","so_14750650")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6.25E-2</v>
      </c>
    </row>
    <row r="232" spans="1:7" x14ac:dyDescent="0.15">
      <c r="A232" t="str">
        <f>HYPERLINK("./new_k5/query_cmdrels_weight_analyze/0.5_0.3_0.2/so_14978411.xlsx","so_14978411")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HYPERLINK("./new_k5/query_cmdrels_weight_analyze/0.5_0.3_0.2/so_15236308.xlsx","so_15236308")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HYPERLINK("./new_k5/query_cmdrels_weight_analyze/0.5_0.3_0.2/so_15286947.xlsx","so_15286947")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HYPERLINK("./new_k5/query_cmdrels_weight_analyze/0.5_0.3_0.2/so_15402770.xlsx","so_15402770")</f>
        <v>so_15402770</v>
      </c>
      <c r="B235">
        <v>0</v>
      </c>
      <c r="C235">
        <v>0.16666666666666671</v>
      </c>
      <c r="D235">
        <v>0.19444444444444439</v>
      </c>
      <c r="E235">
        <v>0.27777777777777768</v>
      </c>
      <c r="F235">
        <v>0.19444444444444439</v>
      </c>
      <c r="G235">
        <v>0.40277777777777768</v>
      </c>
    </row>
    <row r="236" spans="1:7" x14ac:dyDescent="0.15">
      <c r="A236" t="str">
        <f>HYPERLINK("./new_k5/query_cmdrels_weight_analyze/0.5_0.3_0.2/so_1570262.xlsx","so_1570262")</f>
        <v>so_1570262</v>
      </c>
      <c r="B236">
        <v>0</v>
      </c>
      <c r="C236">
        <v>0</v>
      </c>
      <c r="D236">
        <v>0</v>
      </c>
      <c r="E236">
        <v>6.6666666666666666E-2</v>
      </c>
      <c r="F236">
        <v>0</v>
      </c>
      <c r="G236">
        <v>0.1466666666666667</v>
      </c>
    </row>
    <row r="237" spans="1:7" x14ac:dyDescent="0.15">
      <c r="A237" t="str">
        <f>HYPERLINK("./new_k5/query_cmdrels_weight_analyze/0.5_0.3_0.2/so_1583219.xlsx","so_1583219")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HYPERLINK("./new_k5/query_cmdrels_weight_analyze/0.5_0.3_0.2/so_15872543.xlsx","so_15872543")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HYPERLINK("./new_k5/query_cmdrels_weight_analyze/0.5_0.3_0.2/so_16038087.xlsx","so_16038087")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0.5714285714285714</v>
      </c>
    </row>
    <row r="240" spans="1:7" x14ac:dyDescent="0.15">
      <c r="A240" t="str">
        <f>HYPERLINK("./new_k5/query_cmdrels_weight_analyze/0.5_0.3_0.2/so_16212656.xlsx","so_16212656")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HYPERLINK("./new_k5/query_cmdrels_weight_analyze/0.5_0.3_0.2/so_16575419.xlsx","so_16575419")</f>
        <v>so_16575419</v>
      </c>
      <c r="B241">
        <v>0.25</v>
      </c>
      <c r="C241">
        <v>0.25</v>
      </c>
      <c r="D241">
        <v>0.25</v>
      </c>
      <c r="E241">
        <v>0.75</v>
      </c>
      <c r="F241">
        <v>0.25</v>
      </c>
      <c r="G241">
        <v>0.75</v>
      </c>
    </row>
    <row r="242" spans="1:7" x14ac:dyDescent="0.15">
      <c r="A242" t="str">
        <f>HYPERLINK("./new_k5/query_cmdrels_weight_analyze/0.5_0.3_0.2/so_17582768.xlsx","so_17582768")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8.3333333333333329E-2</v>
      </c>
    </row>
    <row r="243" spans="1:7" x14ac:dyDescent="0.15">
      <c r="A243" t="str">
        <f>HYPERLINK("./new_k5/query_cmdrels_weight_analyze/0.5_0.3_0.2/so_17607612.xlsx","so_17607612")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HYPERLINK("./new_k5/query_cmdrels_weight_analyze/0.5_0.3_0.2/so_17829785.xlsx","so_17829785")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HYPERLINK("./new_k5/query_cmdrels_weight_analyze/0.5_0.3_0.2/so_1839841.xlsx","so_1839841")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HYPERLINK("./new_k5/query_cmdrels_weight_analyze/0.5_0.3_0.2/so_18468716.xlsx","so_18468716")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0.46666666666666662</v>
      </c>
    </row>
    <row r="247" spans="1:7" x14ac:dyDescent="0.15">
      <c r="A247" t="str">
        <f>HYPERLINK("./new_k5/query_cmdrels_weight_analyze/0.5_0.3_0.2/so_19196105.xlsx","so_19196105")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0.19166666666666671</v>
      </c>
    </row>
    <row r="248" spans="1:7" x14ac:dyDescent="0.15">
      <c r="A248" t="str">
        <f>HYPERLINK("./new_k5/query_cmdrels_weight_analyze/0.5_0.3_0.2/so_19482123.xlsx","so_19482123")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HYPERLINK("./new_k5/query_cmdrels_weight_analyze/0.5_0.3_0.2/so_1975849.xlsx","so_1975849")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HYPERLINK("./new_k5/query_cmdrels_weight_analyze/0.5_0.3_0.2/so_212528.xlsx","so_212528")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0.45833333333333331</v>
      </c>
    </row>
    <row r="251" spans="1:7" x14ac:dyDescent="0.15">
      <c r="A251" t="str">
        <f>HYPERLINK("./new_k5/query_cmdrels_weight_analyze/0.5_0.3_0.2/so_21620406.xlsx","so_21620406")</f>
        <v>so_21620406</v>
      </c>
      <c r="B251">
        <v>0</v>
      </c>
      <c r="C251">
        <v>0</v>
      </c>
      <c r="D251">
        <v>0.1111111111111111</v>
      </c>
      <c r="E251">
        <v>0.1111111111111111</v>
      </c>
      <c r="F251">
        <v>0.1111111111111111</v>
      </c>
      <c r="G251">
        <v>0.1111111111111111</v>
      </c>
    </row>
    <row r="252" spans="1:7" x14ac:dyDescent="0.15">
      <c r="A252" t="str">
        <f>HYPERLINK("./new_k5/query_cmdrels_weight_analyze/0.5_0.3_0.2/so_23509348.xlsx","so_23509348")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HYPERLINK("./new_k5/query_cmdrels_weight_analyze/0.5_0.3_0.2/so_24058544.xlsx","so_24058544")</f>
        <v>so_24058544</v>
      </c>
      <c r="B253">
        <v>0.2</v>
      </c>
      <c r="C253">
        <v>0.2</v>
      </c>
      <c r="D253">
        <v>0.2</v>
      </c>
      <c r="E253">
        <v>0.33333333333333331</v>
      </c>
      <c r="F253">
        <v>0.2</v>
      </c>
      <c r="G253">
        <v>0.33333333333333331</v>
      </c>
    </row>
    <row r="254" spans="1:7" x14ac:dyDescent="0.15">
      <c r="A254" t="str">
        <f>HYPERLINK("./new_k5/query_cmdrels_weight_analyze/0.5_0.3_0.2/so_24283097.xlsx","so_24283097")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HYPERLINK("./new_k5/query_cmdrels_weight_analyze/0.5_0.3_0.2/so_26256279.xlsx","so_26256279")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HYPERLINK("./new_k5/query_cmdrels_weight_analyze/0.5_0.3_0.2/so_26331651.xlsx","so_26331651")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HYPERLINK("./new_k5/query_cmdrels_weight_analyze/0.5_0.3_0.2/so_26988262.xlsx","so_26988262")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HYPERLINK("./new_k5/query_cmdrels_weight_analyze/0.5_0.3_0.2/so_27238411.xlsx","so_27238411")</f>
        <v>so_27238411</v>
      </c>
      <c r="B258">
        <v>0.2</v>
      </c>
      <c r="C258">
        <v>0.2</v>
      </c>
      <c r="D258">
        <v>0.6</v>
      </c>
      <c r="E258">
        <v>0.6</v>
      </c>
      <c r="F258">
        <v>0.6</v>
      </c>
      <c r="G258">
        <v>0.6</v>
      </c>
    </row>
    <row r="259" spans="1:7" x14ac:dyDescent="0.15">
      <c r="A259" t="str">
        <f>HYPERLINK("./new_k5/query_cmdrels_weight_analyze/0.5_0.3_0.2/so_27943059.xlsx","so_27943059")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0.33333333333333331</v>
      </c>
      <c r="F259">
        <v>0.16666666666666671</v>
      </c>
      <c r="G259">
        <v>0.5</v>
      </c>
    </row>
    <row r="260" spans="1:7" x14ac:dyDescent="0.15">
      <c r="A260" t="str">
        <f>HYPERLINK("./new_k5/query_cmdrels_weight_analyze/0.5_0.3_0.2/so_28869004.xlsx","so_28869004")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HYPERLINK("./new_k5/query_cmdrels_weight_analyze/0.5_0.3_0.2/so_2973624.xlsx","so_2973624")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1</v>
      </c>
      <c r="F261">
        <v>0.66666666666666663</v>
      </c>
      <c r="G261">
        <v>1</v>
      </c>
    </row>
    <row r="262" spans="1:7" x14ac:dyDescent="0.15">
      <c r="A262" t="str">
        <f>HYPERLINK("./new_k5/query_cmdrels_weight_analyze/0.5_0.3_0.2/so_30177455.xlsx","so_30177455")</f>
        <v>so_30177455</v>
      </c>
      <c r="B262">
        <v>0</v>
      </c>
      <c r="C262">
        <v>0</v>
      </c>
      <c r="D262">
        <v>0.16666666666666671</v>
      </c>
      <c r="E262">
        <v>0</v>
      </c>
      <c r="F262">
        <v>0.16666666666666671</v>
      </c>
      <c r="G262">
        <v>8.3333333333333329E-2</v>
      </c>
    </row>
    <row r="263" spans="1:7" x14ac:dyDescent="0.15">
      <c r="A263" t="str">
        <f>HYPERLINK("./new_k5/query_cmdrels_weight_analyze/0.5_0.3_0.2/so_30251889.xlsx","so_30251889")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0.6791666666666667</v>
      </c>
    </row>
    <row r="264" spans="1:7" x14ac:dyDescent="0.15">
      <c r="A264" t="str">
        <f>HYPERLINK("./new_k5/query_cmdrels_weight_analyze/0.5_0.3_0.2/so_305035.xlsx","so_305035")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HYPERLINK("./new_k5/query_cmdrels_weight_analyze/0.5_0.3_0.2/so_36249744.xlsx","so_36249744")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HYPERLINK("./new_k5/query_cmdrels_weight_analyze/0.5_0.3_0.2/so_3643848.xlsx","so_3643848")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HYPERLINK("./new_k5/query_cmdrels_weight_analyze/0.5_0.3_0.2/so_3667329.xlsx","so_3667329")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HYPERLINK("./new_k5/query_cmdrels_weight_analyze/0.5_0.3_0.2/so_369758.xlsx","so_369758")</f>
        <v>so_369758</v>
      </c>
      <c r="B268">
        <v>0.2</v>
      </c>
      <c r="C268">
        <v>0.2</v>
      </c>
      <c r="D268">
        <v>0.4</v>
      </c>
      <c r="E268">
        <v>0.33333333333333331</v>
      </c>
      <c r="F268">
        <v>0.4</v>
      </c>
      <c r="G268">
        <v>0.48333333333333328</v>
      </c>
    </row>
    <row r="269" spans="1:7" x14ac:dyDescent="0.15">
      <c r="A269" t="str">
        <f>HYPERLINK("./new_k5/query_cmdrels_weight_analyze/0.5_0.3_0.2/so_3756323.xlsx","so_3756323")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</v>
      </c>
    </row>
    <row r="270" spans="1:7" x14ac:dyDescent="0.15">
      <c r="A270" t="str">
        <f>HYPERLINK("./new_k5/query_cmdrels_weight_analyze/0.5_0.3_0.2/so_3767267.xlsx","so_3767267")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HYPERLINK("./new_k5/query_cmdrels_weight_analyze/0.5_0.3_0.2/so_3833578.xlsx","so_3833578")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HYPERLINK("./new_k5/query_cmdrels_weight_analyze/0.5_0.3_0.2/so_3891076.xlsx","so_3891076")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0.52500000000000002</v>
      </c>
    </row>
    <row r="273" spans="1:7" x14ac:dyDescent="0.15">
      <c r="A273" t="str">
        <f>HYPERLINK("./new_k5/query_cmdrels_weight_analyze/0.5_0.3_0.2/so_3963085.xlsx","so_3963085")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HYPERLINK("./new_k5/query_cmdrels_weight_analyze/0.5_0.3_0.2/so_4325216.xlsx","so_4325216")</f>
        <v>so_4325216</v>
      </c>
      <c r="B274">
        <v>0.5</v>
      </c>
      <c r="C274">
        <v>0.5</v>
      </c>
      <c r="D274">
        <v>0.5</v>
      </c>
      <c r="E274">
        <v>0.83333333333333326</v>
      </c>
      <c r="F274">
        <v>0.5</v>
      </c>
      <c r="G274">
        <v>0.83333333333333326</v>
      </c>
    </row>
    <row r="275" spans="1:7" x14ac:dyDescent="0.15">
      <c r="A275" t="str">
        <f>HYPERLINK("./new_k5/query_cmdrels_weight_analyze/0.5_0.3_0.2/so_448005.xlsx","so_448005")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HYPERLINK("./new_k5/query_cmdrels_weight_analyze/0.5_0.3_0.2/so_4921879.xlsx","so_4921879")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HYPERLINK("./new_k5/query_cmdrels_weight_analyze/0.5_0.3_0.2/so_4922943.xlsx","so_4922943")</f>
        <v>so_4922943</v>
      </c>
      <c r="B277">
        <v>0.2</v>
      </c>
      <c r="C277">
        <v>0.2</v>
      </c>
      <c r="D277">
        <v>0.33333333333333331</v>
      </c>
      <c r="E277">
        <v>0.2</v>
      </c>
      <c r="F277">
        <v>0.33333333333333331</v>
      </c>
      <c r="G277">
        <v>0.3</v>
      </c>
    </row>
    <row r="278" spans="1:7" x14ac:dyDescent="0.15">
      <c r="A278" t="str">
        <f>HYPERLINK("./new_k5/query_cmdrels_weight_analyze/0.5_0.3_0.2/so_5119946.xlsx","so_5119946")</f>
        <v>so_5119946</v>
      </c>
      <c r="B278">
        <v>0.5</v>
      </c>
      <c r="C278">
        <v>0</v>
      </c>
      <c r="D278">
        <v>0.5</v>
      </c>
      <c r="E278">
        <v>0.58333333333333326</v>
      </c>
      <c r="F278">
        <v>0.5</v>
      </c>
      <c r="G278">
        <v>0.58333333333333326</v>
      </c>
    </row>
    <row r="279" spans="1:7" x14ac:dyDescent="0.15">
      <c r="A279" t="str">
        <f>HYPERLINK("./new_k5/query_cmdrels_weight_analyze/0.5_0.3_0.2/so_5164985.xlsx","so_5164985")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HYPERLINK("./new_k5/query_cmdrels_weight_analyze/0.5_0.3_0.2/so_5306153.xlsx","so_5306153")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HYPERLINK("./new_k5/query_cmdrels_weight_analyze/0.5_0.3_0.2/so_5566310.xlsx","so_5566310")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HYPERLINK("./new_k5/query_cmdrels_weight_analyze/0.5_0.3_0.2/so_5927369.xlsx","so_5927369")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HYPERLINK("./new_k5/query_cmdrels_weight_analyze/0.5_0.3_0.2/so_5947742.xlsx","so_5947742")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HYPERLINK("./new_k5/query_cmdrels_weight_analyze/0.5_0.3_0.2/so_614795.xlsx","so_614795")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HYPERLINK("./new_k5/query_cmdrels_weight_analyze/0.5_0.3_0.2/so_6207573.xlsx","so_6207573")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0.2857142857142857</v>
      </c>
      <c r="F285">
        <v>0.37142857142857139</v>
      </c>
      <c r="G285">
        <v>0.39285714285714279</v>
      </c>
    </row>
    <row r="286" spans="1:7" x14ac:dyDescent="0.15">
      <c r="A286" t="str">
        <f>HYPERLINK("./new_k5/query_cmdrels_weight_analyze/0.5_0.3_0.2/so_6283167.xlsx","so_6283167")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HYPERLINK("./new_k5/query_cmdrels_weight_analyze/0.5_0.3_0.2/so_6329505.xlsx","so_6329505")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HYPERLINK("./new_k5/query_cmdrels_weight_analyze/0.5_0.3_0.2/so_6423532.xlsx","so_6423532")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HYPERLINK("./new_k5/query_cmdrels_weight_analyze/0.5_0.3_0.2/so_669438.xlsx","so_669438")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0.33333333333333331</v>
      </c>
    </row>
    <row r="290" spans="1:7" x14ac:dyDescent="0.15">
      <c r="A290" t="str">
        <f>HYPERLINK("./new_k5/query_cmdrels_weight_analyze/0.5_0.3_0.2/so_7052875.xlsx","so_7052875")</f>
        <v>so_7052875</v>
      </c>
      <c r="B290">
        <v>0.2</v>
      </c>
      <c r="C290">
        <v>0.2</v>
      </c>
      <c r="D290">
        <v>0.2</v>
      </c>
      <c r="E290">
        <v>0.2</v>
      </c>
      <c r="F290">
        <v>0.2</v>
      </c>
      <c r="G290">
        <v>0.3</v>
      </c>
    </row>
    <row r="291" spans="1:7" x14ac:dyDescent="0.15">
      <c r="A291" t="str">
        <f>HYPERLINK("./new_k5/query_cmdrels_weight_analyze/0.5_0.3_0.2/so_7221757.xlsx","so_7221757")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HYPERLINK("./new_k5/query_cmdrels_weight_analyze/0.5_0.3_0.2/so_750604.xlsx","so_750604")</f>
        <v>so_750604</v>
      </c>
      <c r="B292">
        <v>0</v>
      </c>
      <c r="C292">
        <v>0</v>
      </c>
      <c r="D292">
        <v>0.1111111111111111</v>
      </c>
      <c r="E292">
        <v>0.16666666666666671</v>
      </c>
      <c r="F292">
        <v>0.1111111111111111</v>
      </c>
      <c r="G292">
        <v>0.33333333333333331</v>
      </c>
    </row>
    <row r="293" spans="1:7" x14ac:dyDescent="0.15">
      <c r="A293" t="str">
        <f>HYPERLINK("./new_k5/query_cmdrels_weight_analyze/0.5_0.3_0.2/so_7575267.xlsx","so_7575267")</f>
        <v>so_7575267</v>
      </c>
      <c r="B293">
        <v>0</v>
      </c>
      <c r="C293">
        <v>0.25</v>
      </c>
      <c r="D293">
        <v>0</v>
      </c>
      <c r="E293">
        <v>0.75</v>
      </c>
      <c r="F293">
        <v>0</v>
      </c>
      <c r="G293">
        <v>0.75</v>
      </c>
    </row>
    <row r="294" spans="1:7" x14ac:dyDescent="0.15">
      <c r="A294" t="str">
        <f>HYPERLINK("./new_k5/query_cmdrels_weight_analyze/0.5_0.3_0.2/so_7698488.xlsx","so_7698488")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0.16250000000000001</v>
      </c>
    </row>
    <row r="295" spans="1:7" x14ac:dyDescent="0.15">
      <c r="A295" t="str">
        <f>HYPERLINK("./new_k5/query_cmdrels_weight_analyze/0.5_0.3_0.2/so_801095.xlsx","so_801095")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0.33333333333333331</v>
      </c>
      <c r="F295">
        <v>0.33333333333333331</v>
      </c>
      <c r="G295">
        <v>0.5</v>
      </c>
    </row>
    <row r="296" spans="1:7" x14ac:dyDescent="0.15">
      <c r="A296" t="str">
        <f>HYPERLINK("./new_k5/query_cmdrels_weight_analyze/0.5_0.3_0.2/so_8249705.xlsx","so_8249705")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HYPERLINK("./new_k5/query_cmdrels_weight_analyze/0.5_0.3_0.2/so_8423541.xlsx","so_8423541")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HYPERLINK("./new_k5/query_cmdrels_weight_analyze/0.5_0.3_0.2/so_8654051.xlsx","so_8654051")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HYPERLINK("./new_k5/query_cmdrels_weight_analyze/0.5_0.3_0.2/so_890262.xlsx","so_890262")</f>
        <v>so_890262</v>
      </c>
      <c r="B299">
        <v>0</v>
      </c>
      <c r="C299">
        <v>0</v>
      </c>
      <c r="D299">
        <v>0</v>
      </c>
      <c r="E299">
        <v>0.38888888888888878</v>
      </c>
      <c r="F299">
        <v>0</v>
      </c>
      <c r="G299">
        <v>0.38888888888888878</v>
      </c>
    </row>
    <row r="300" spans="1:7" x14ac:dyDescent="0.15">
      <c r="A300" t="str">
        <f>HYPERLINK("./new_k5/query_cmdrels_weight_analyze/0.5_0.3_0.2/so_893585.xlsx","so_893585")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HYPERLINK("./new_k5/query_cmdrels_weight_analyze/0.5_0.3_0.2/so_9223460.xlsx","so_9223460")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HYPERLINK("./new_k5/query_cmdrels_weight_analyze/0.5_0.3_0.2/so_9245638.xlsx","so_9245638")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HYPERLINK("./new_k5/query_cmdrels_weight_analyze/0.5_0.3_0.2/so_9304953.xlsx","so_9304953")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HYPERLINK("./new_k5/query_cmdrels_weight_analyze/0.5_0.3_0.2/so_9361816.xlsx","so_9361816")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HYPERLINK("./new_k5/query_cmdrels_weight_analyze/0.5_0.3_0.2/su_116617.xlsx","su_116617")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HYPERLINK("./new_k5/query_cmdrels_weight_analyze/0.5_0.3_0.2/su_120045.xlsx","su_120045")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HYPERLINK("./new_k5/query_cmdrels_weight_analyze/0.5_0.3_0.2/su_127863.xlsx","su_127863")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HYPERLINK("./new_k5/query_cmdrels_weight_analyze/0.5_0.3_0.2/su_135498.xlsx","su_135498")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HYPERLINK("./new_k5/query_cmdrels_weight_analyze/0.5_0.3_0.2/su_147027.xlsx","su_147027")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HYPERLINK("./new_k5/query_cmdrels_weight_analyze/0.5_0.3_0.2/su_151911.xlsx","su_151911")</f>
        <v>su_151911</v>
      </c>
      <c r="B310">
        <v>0</v>
      </c>
      <c r="C310">
        <v>0</v>
      </c>
      <c r="D310">
        <v>0</v>
      </c>
      <c r="E310">
        <v>8.3333333333333329E-2</v>
      </c>
      <c r="F310">
        <v>0</v>
      </c>
      <c r="G310">
        <v>8.3333333333333329E-2</v>
      </c>
    </row>
    <row r="311" spans="1:7" x14ac:dyDescent="0.15">
      <c r="A311" t="str">
        <f>HYPERLINK("./new_k5/query_cmdrels_weight_analyze/0.5_0.3_0.2/su_153415.xlsx","su_153415")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HYPERLINK("./new_k5/query_cmdrels_weight_analyze/0.5_0.3_0.2/su_156189.xlsx","su_156189")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0.27777777777777768</v>
      </c>
    </row>
    <row r="313" spans="1:7" x14ac:dyDescent="0.15">
      <c r="A313" t="str">
        <f>HYPERLINK("./new_k5/query_cmdrels_weight_analyze/0.5_0.3_0.2/su_161531.xlsx","su_161531")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HYPERLINK("./new_k5/query_cmdrels_weight_analyze/0.5_0.3_0.2/su_204209.xlsx","su_204209")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HYPERLINK("./new_k5/query_cmdrels_weight_analyze/0.5_0.3_0.2/su_214390.xlsx","su_214390")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HYPERLINK("./new_k5/query_cmdrels_weight_analyze/0.5_0.3_0.2/su_215483.xlsx","su_215483")</f>
        <v>su_215483</v>
      </c>
      <c r="B316">
        <v>0.5</v>
      </c>
      <c r="C316">
        <v>0.5</v>
      </c>
      <c r="D316">
        <v>1</v>
      </c>
      <c r="E316">
        <v>0.83333333333333326</v>
      </c>
      <c r="F316">
        <v>1</v>
      </c>
      <c r="G316">
        <v>0.83333333333333326</v>
      </c>
    </row>
    <row r="317" spans="1:7" x14ac:dyDescent="0.15">
      <c r="A317" t="str">
        <f>HYPERLINK("./new_k5/query_cmdrels_weight_analyze/0.5_0.3_0.2/su_215504.xlsx","su_215504")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0.47916666666666657</v>
      </c>
    </row>
    <row r="318" spans="1:7" x14ac:dyDescent="0.15">
      <c r="A318" t="str">
        <f>HYPERLINK("./new_k5/query_cmdrels_weight_analyze/0.5_0.3_0.2/su_227385.xlsx","su_227385")</f>
        <v>su_227385</v>
      </c>
      <c r="B318">
        <v>0</v>
      </c>
      <c r="C318">
        <v>0</v>
      </c>
      <c r="D318">
        <v>0</v>
      </c>
      <c r="E318">
        <v>0.29166666666666657</v>
      </c>
      <c r="F318">
        <v>0</v>
      </c>
      <c r="G318">
        <v>0.6791666666666667</v>
      </c>
    </row>
    <row r="319" spans="1:7" x14ac:dyDescent="0.15">
      <c r="A319" t="str">
        <f>HYPERLINK("./new_k5/query_cmdrels_weight_analyze/0.5_0.3_0.2/su_273254.xlsx","su_273254")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HYPERLINK("./new_k5/query_cmdrels_weight_analyze/0.5_0.3_0.2/su_294161.xlsx","su_294161")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HYPERLINK("./new_k5/query_cmdrels_weight_analyze/0.5_0.3_0.2/su_302396.xlsx","su_302396")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HYPERLINK("./new_k5/query_cmdrels_weight_analyze/0.5_0.3_0.2/su_303981.xlsx","su_303981")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HYPERLINK("./new_k5/query_cmdrels_weight_analyze/0.5_0.3_0.2/su_305128.xlsx","su_305128")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HYPERLINK("./new_k5/query_cmdrels_weight_analyze/0.5_0.3_0.2/su_31512.xlsx","su_31512")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HYPERLINK("./new_k5/query_cmdrels_weight_analyze/0.5_0.3_0.2/su_380520.xlsx","su_380520")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0.33333333333333331</v>
      </c>
    </row>
    <row r="326" spans="1:7" x14ac:dyDescent="0.15">
      <c r="A326" t="str">
        <f>HYPERLINK("./new_k5/query_cmdrels_weight_analyze/0.5_0.3_0.2/su_38981.xlsx","su_38981")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HYPERLINK("./new_k5/query_cmdrels_weight_analyze/0.5_0.3_0.2/su_437330.xlsx","su_437330")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HYPERLINK("./new_k5/query_cmdrels_weight_analyze/0.5_0.3_0.2/su_441379.xlsx","su_441379")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HYPERLINK("./new_k5/query_cmdrels_weight_analyze/0.5_0.3_0.2/su_462788.xlsx","su_462788")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0.22222222222222221</v>
      </c>
      <c r="F329">
        <v>0.30555555555555558</v>
      </c>
      <c r="G329">
        <v>0.39444444444444438</v>
      </c>
    </row>
    <row r="330" spans="1:7" x14ac:dyDescent="0.15">
      <c r="A330" t="str">
        <f>HYPERLINK("./new_k5/query_cmdrels_weight_analyze/0.5_0.3_0.2/su_626606.xlsx","su_626606")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0.83333333333333337</v>
      </c>
    </row>
    <row r="331" spans="1:7" x14ac:dyDescent="0.15">
      <c r="A331" t="str">
        <f>HYPERLINK("./new_k5/query_cmdrels_weight_analyze/0.5_0.3_0.2/su_634469.xlsx","su_634469")</f>
        <v>su_634469</v>
      </c>
      <c r="B331">
        <v>0</v>
      </c>
      <c r="C331">
        <v>0.16666666666666671</v>
      </c>
      <c r="D331">
        <v>0</v>
      </c>
      <c r="E331">
        <v>0.33333333333333331</v>
      </c>
      <c r="F331">
        <v>0</v>
      </c>
      <c r="G331">
        <v>0.43333333333333329</v>
      </c>
    </row>
    <row r="332" spans="1:7" x14ac:dyDescent="0.15">
      <c r="A332" t="str">
        <f>HYPERLINK("./new_k5/query_cmdrels_weight_analyze/0.5_0.3_0.2/su_638616.xlsx","su_638616")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HYPERLINK("./new_k5/query_cmdrels_weight_analyze/0.5_0.3_0.2/su_678113.xlsx","su_678113")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HYPERLINK("./new_k5/query_cmdrels_weight_analyze/0.5_0.3_0.2/su_686394.xlsx","su_686394")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HYPERLINK("./new_k5/query_cmdrels_weight_analyze/0.5_0.3_0.2/su_716795.xlsx","su_716795")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0.125</v>
      </c>
    </row>
    <row r="336" spans="1:7" x14ac:dyDescent="0.15">
      <c r="A336" t="str">
        <f>HYPERLINK("./new_k5/query_cmdrels_weight_analyze/0.5_0.3_0.2/su_758463.xlsx","su_758463")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HYPERLINK("./new_k5/query_cmdrels_weight_analyze/0.5_0.3_0.2/su_766437.xlsx","su_766437")</f>
        <v>su_766437</v>
      </c>
      <c r="B337">
        <v>0</v>
      </c>
      <c r="C337">
        <v>0</v>
      </c>
      <c r="D337">
        <v>0</v>
      </c>
      <c r="E337">
        <v>0.23333333333333331</v>
      </c>
      <c r="F337">
        <v>0.05</v>
      </c>
      <c r="G337">
        <v>0.35333333333333328</v>
      </c>
    </row>
    <row r="338" spans="1:7" x14ac:dyDescent="0.15">
      <c r="A338" t="str">
        <f>HYPERLINK("./new_k5/query_cmdrels_weight_analyze/0.5_0.3_0.2/su_904001.xlsx","su_904001")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HYPERLINK("./new_k5/query_cmdrels_weight_analyze/0.5_0.3_0.2/ul_100959.xlsx","ul_100959")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HYPERLINK("./new_k5/query_cmdrels_weight_analyze/0.5_0.3_0.2/ul_101073.xlsx","ul_101073")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HYPERLINK("./new_k5/query_cmdrels_weight_analyze/0.5_0.3_0.2/ul_101237.xlsx","ul_101237")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HYPERLINK("./new_k5/query_cmdrels_weight_analyze/0.5_0.3_0.2/ul_102752.xlsx","ul_102752")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HYPERLINK("./new_k5/query_cmdrels_weight_analyze/0.5_0.3_0.2/ul_108174.xlsx","ul_108174")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HYPERLINK("./new_k5/query_cmdrels_weight_analyze/0.5_0.3_0.2/ul_109536.xlsx","ul_109536")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HYPERLINK("./new_k5/query_cmdrels_weight_analyze/0.5_0.3_0.2/ul_112050.xlsx","ul_112050")</f>
        <v>ul_112050</v>
      </c>
      <c r="B345">
        <v>0</v>
      </c>
      <c r="C345">
        <v>0.25</v>
      </c>
      <c r="D345">
        <v>0.125</v>
      </c>
      <c r="E345">
        <v>0.75</v>
      </c>
      <c r="F345">
        <v>0.125</v>
      </c>
      <c r="G345">
        <v>0.75</v>
      </c>
    </row>
    <row r="346" spans="1:7" x14ac:dyDescent="0.15">
      <c r="A346" t="str">
        <f>HYPERLINK("./new_k5/query_cmdrels_weight_analyze/0.5_0.3_0.2/ul_116070.xlsx","ul_116070")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HYPERLINK("./new_k5/query_cmdrels_weight_analyze/0.5_0.3_0.2/ul_11851.xlsx","ul_11851")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HYPERLINK("./new_k5/query_cmdrels_weight_analyze/0.5_0.3_0.2/ul_119126.xlsx","ul_119126")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HYPERLINK("./new_k5/query_cmdrels_weight_analyze/0.5_0.3_0.2/ul_121718.xlsx","ul_121718")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HYPERLINK("./new_k5/query_cmdrels_weight_analyze/0.5_0.3_0.2/ul_12227.xlsx","ul_12227")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HYPERLINK("./new_k5/query_cmdrels_weight_analyze/0.5_0.3_0.2/ul_12453.xlsx","ul_12453")</f>
        <v>ul_12453</v>
      </c>
      <c r="B351">
        <v>0</v>
      </c>
      <c r="C351">
        <v>0.25</v>
      </c>
      <c r="D351">
        <v>0.125</v>
      </c>
      <c r="E351">
        <v>0.75</v>
      </c>
      <c r="F351">
        <v>0.125</v>
      </c>
      <c r="G351">
        <v>1</v>
      </c>
    </row>
    <row r="352" spans="1:7" x14ac:dyDescent="0.15">
      <c r="A352" t="str">
        <f>HYPERLINK("./new_k5/query_cmdrels_weight_analyze/0.5_0.3_0.2/ul_12535.xlsx","ul_12535")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0.16666666666666671</v>
      </c>
    </row>
    <row r="353" spans="1:7" x14ac:dyDescent="0.15">
      <c r="A353" t="str">
        <f>HYPERLINK("./new_k5/query_cmdrels_weight_analyze/0.5_0.3_0.2/ul_127066.xlsx","ul_127066")</f>
        <v>ul_127066</v>
      </c>
      <c r="B353">
        <v>0.25</v>
      </c>
      <c r="C353">
        <v>0.25</v>
      </c>
      <c r="D353">
        <v>0.25</v>
      </c>
      <c r="E353">
        <v>0.25</v>
      </c>
      <c r="F353">
        <v>0.25</v>
      </c>
      <c r="G353">
        <v>0.375</v>
      </c>
    </row>
    <row r="354" spans="1:7" x14ac:dyDescent="0.15">
      <c r="A354" t="str">
        <f>HYPERLINK("./new_k5/query_cmdrels_weight_analyze/0.5_0.3_0.2/ul_128953.xlsx","ul_128953")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HYPERLINK("./new_k5/query_cmdrels_weight_analyze/0.5_0.3_0.2/ul_134829.xlsx","ul_134829")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0.66666666666666663</v>
      </c>
    </row>
    <row r="356" spans="1:7" x14ac:dyDescent="0.15">
      <c r="A356" t="str">
        <f>HYPERLINK("./new_k5/query_cmdrels_weight_analyze/0.5_0.3_0.2/ul_136371.xlsx","ul_136371")</f>
        <v>ul_136371</v>
      </c>
      <c r="B356">
        <v>0</v>
      </c>
      <c r="C356">
        <v>0</v>
      </c>
      <c r="D356">
        <v>0</v>
      </c>
      <c r="E356">
        <v>0.16666666666666671</v>
      </c>
      <c r="F356">
        <v>0</v>
      </c>
      <c r="G356">
        <v>0.3</v>
      </c>
    </row>
    <row r="357" spans="1:7" x14ac:dyDescent="0.15">
      <c r="A357" t="str">
        <f>HYPERLINK("./new_k5/query_cmdrels_weight_analyze/0.5_0.3_0.2/ul_136884.xlsx","ul_136884")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HYPERLINK("./new_k5/query_cmdrels_weight_analyze/0.5_0.3_0.2/ul_138398.xlsx","ul_138398")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HYPERLINK("./new_k5/query_cmdrels_weight_analyze/0.5_0.3_0.2/ul_139271.xlsx","ul_139271")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0.27777777777777768</v>
      </c>
      <c r="F359">
        <v>0.33333333333333331</v>
      </c>
      <c r="G359">
        <v>0.37777777777777782</v>
      </c>
    </row>
    <row r="360" spans="1:7" x14ac:dyDescent="0.15">
      <c r="A360" t="str">
        <f>HYPERLINK("./new_k5/query_cmdrels_weight_analyze/0.5_0.3_0.2/ul_140482.xlsx","ul_140482")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HYPERLINK("./new_k5/query_cmdrels_weight_analyze/0.5_0.3_0.2/ul_14191.xlsx","ul_14191")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0.1111111111111111</v>
      </c>
    </row>
    <row r="362" spans="1:7" x14ac:dyDescent="0.15">
      <c r="A362" t="str">
        <f>HYPERLINK("./new_k5/query_cmdrels_weight_analyze/0.5_0.3_0.2/ul_145929.xlsx","ul_145929")</f>
        <v>ul_145929</v>
      </c>
      <c r="B362">
        <v>0</v>
      </c>
      <c r="C362">
        <v>0</v>
      </c>
      <c r="D362">
        <v>0.16666666666666671</v>
      </c>
      <c r="E362">
        <v>0.25</v>
      </c>
      <c r="F362">
        <v>0.16666666666666671</v>
      </c>
      <c r="G362">
        <v>0.5</v>
      </c>
    </row>
    <row r="363" spans="1:7" x14ac:dyDescent="0.15">
      <c r="A363" t="str">
        <f>HYPERLINK("./new_k5/query_cmdrels_weight_analyze/0.5_0.3_0.2/ul_148985.xlsx","ul_148985")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HYPERLINK("./new_k5/query_cmdrels_weight_analyze/0.5_0.3_0.2/ul_15405.xlsx","ul_15405")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HYPERLINK("./new_k5/query_cmdrels_weight_analyze/0.5_0.3_0.2/ul_155551.xlsx","ul_155551")</f>
        <v>ul_155551</v>
      </c>
      <c r="B365">
        <v>0</v>
      </c>
      <c r="C365">
        <v>0.5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HYPERLINK("./new_k5/query_cmdrels_weight_analyze/0.5_0.3_0.2/ul_159672.xlsx","ul_159672")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HYPERLINK("./new_k5/query_cmdrels_weight_analyze/0.5_0.3_0.2/ul_163845.xlsx","ul_163845")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HYPERLINK("./new_k5/query_cmdrels_weight_analyze/0.5_0.3_0.2/ul_16407.xlsx","ul_16407")</f>
        <v>ul_16407</v>
      </c>
      <c r="B368">
        <v>0.5</v>
      </c>
      <c r="C368">
        <v>0</v>
      </c>
      <c r="D368">
        <v>0.5</v>
      </c>
      <c r="E368">
        <v>0.25</v>
      </c>
      <c r="F368">
        <v>0.75</v>
      </c>
      <c r="G368">
        <v>0.25</v>
      </c>
    </row>
    <row r="369" spans="1:7" x14ac:dyDescent="0.15">
      <c r="A369" t="str">
        <f>HYPERLINK("./new_k5/query_cmdrels_weight_analyze/0.5_0.3_0.2/ul_166558.xlsx","ul_166558")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HYPERLINK("./new_k5/query_cmdrels_weight_analyze/0.5_0.3_0.2/ul_171314.xlsx","ul_171314")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0.25</v>
      </c>
    </row>
    <row r="371" spans="1:7" x14ac:dyDescent="0.15">
      <c r="A371" t="str">
        <f>HYPERLINK("./new_k5/query_cmdrels_weight_analyze/0.5_0.3_0.2/ul_182032.xlsx","ul_182032")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HYPERLINK("./new_k5/query_cmdrels_weight_analyze/0.5_0.3_0.2/ul_19344.xlsx","ul_19344")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HYPERLINK("./new_k5/query_cmdrels_weight_analyze/0.5_0.3_0.2/ul_19369.xlsx","ul_19369")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HYPERLINK("./new_k5/query_cmdrels_weight_analyze/0.5_0.3_0.2/ul_19485.xlsx","ul_19485")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HYPERLINK("./new_k5/query_cmdrels_weight_analyze/0.5_0.3_0.2/ul_20370.xlsx","ul_20370")</f>
        <v>ul_20370</v>
      </c>
      <c r="B375">
        <v>0</v>
      </c>
      <c r="C375">
        <v>0.5</v>
      </c>
      <c r="D375">
        <v>0</v>
      </c>
      <c r="E375">
        <v>0.5</v>
      </c>
      <c r="F375">
        <v>0</v>
      </c>
      <c r="G375">
        <v>0.5</v>
      </c>
    </row>
    <row r="376" spans="1:7" x14ac:dyDescent="0.15">
      <c r="A376" t="str">
        <f>HYPERLINK("./new_k5/query_cmdrels_weight_analyze/0.5_0.3_0.2/ul_211817.xlsx","ul_211817")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HYPERLINK("./new_k5/query_cmdrels_weight_analyze/0.5_0.3_0.2/ul_212925.xlsx","ul_212925")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HYPERLINK("./new_k5/query_cmdrels_weight_analyze/0.5_0.3_0.2/ul_21471.xlsx","ul_21471")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HYPERLINK("./new_k5/query_cmdrels_weight_analyze/0.5_0.3_0.2/ul_22545.xlsx","ul_22545")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HYPERLINK("./new_k5/query_cmdrels_weight_analyze/0.5_0.3_0.2/ul_230481.xlsx","ul_230481")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HYPERLINK("./new_k5/query_cmdrels_weight_analyze/0.5_0.3_0.2/ul_230673.xlsx","ul_230673")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0.45</v>
      </c>
    </row>
    <row r="382" spans="1:7" x14ac:dyDescent="0.15">
      <c r="A382" t="str">
        <f>HYPERLINK("./new_k5/query_cmdrels_weight_analyze/0.5_0.3_0.2/ul_230800.xlsx","ul_230800")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HYPERLINK("./new_k5/query_cmdrels_weight_analyze/0.5_0.3_0.2/ul_232384.xlsx","ul_232384")</f>
        <v>ul_232384</v>
      </c>
      <c r="B383">
        <v>0</v>
      </c>
      <c r="C383">
        <v>0.5</v>
      </c>
      <c r="D383">
        <v>0</v>
      </c>
      <c r="E383">
        <v>0.83333333333333326</v>
      </c>
      <c r="F383">
        <v>0</v>
      </c>
      <c r="G383">
        <v>0.83333333333333326</v>
      </c>
    </row>
    <row r="384" spans="1:7" x14ac:dyDescent="0.15">
      <c r="A384" t="str">
        <f>HYPERLINK("./new_k5/query_cmdrels_weight_analyze/0.5_0.3_0.2/ul_24441.xlsx","ul_24441")</f>
        <v>ul_24441</v>
      </c>
      <c r="B384">
        <v>0</v>
      </c>
      <c r="C384">
        <v>0.5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HYPERLINK("./new_k5/query_cmdrels_weight_analyze/0.5_0.3_0.2/ul_246535.xlsx","ul_246535")</f>
        <v>ul_246535</v>
      </c>
      <c r="B385">
        <v>0.2</v>
      </c>
      <c r="C385">
        <v>0.2</v>
      </c>
      <c r="D385">
        <v>0.2</v>
      </c>
      <c r="E385">
        <v>0.2</v>
      </c>
      <c r="F385">
        <v>0.2</v>
      </c>
      <c r="G385">
        <v>0.42</v>
      </c>
    </row>
    <row r="386" spans="1:7" x14ac:dyDescent="0.15">
      <c r="A386" t="str">
        <f>HYPERLINK("./new_k5/query_cmdrels_weight_analyze/0.5_0.3_0.2/ul_259791.xlsx","ul_259791")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HYPERLINK("./new_k5/query_cmdrels_weight_analyze/0.5_0.3_0.2/ul_273971.xlsx","ul_273971")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0.16666666666666671</v>
      </c>
      <c r="F387">
        <v>0.43333333333333329</v>
      </c>
      <c r="G387">
        <v>0.25</v>
      </c>
    </row>
    <row r="388" spans="1:7" x14ac:dyDescent="0.15">
      <c r="A388" t="str">
        <f>HYPERLINK("./new_k5/query_cmdrels_weight_analyze/0.5_0.3_0.2/ul_28553.xlsx","ul_28553")</f>
        <v>ul_28553</v>
      </c>
      <c r="B388">
        <v>0.25</v>
      </c>
      <c r="C388">
        <v>0</v>
      </c>
      <c r="D388">
        <v>0.5</v>
      </c>
      <c r="E388">
        <v>0.125</v>
      </c>
      <c r="F388">
        <v>0.5</v>
      </c>
      <c r="G388">
        <v>0.125</v>
      </c>
    </row>
    <row r="389" spans="1:7" x14ac:dyDescent="0.15">
      <c r="A389" t="str">
        <f>HYPERLINK("./new_k5/query_cmdrels_weight_analyze/0.5_0.3_0.2/ul_288521.xlsx","ul_288521")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HYPERLINK("./new_k5/query_cmdrels_weight_analyze/0.5_0.3_0.2/ul_32290.xlsx","ul_32290")</f>
        <v>ul_32290</v>
      </c>
      <c r="B390">
        <v>0</v>
      </c>
      <c r="C390">
        <v>0</v>
      </c>
      <c r="D390">
        <v>0</v>
      </c>
      <c r="E390">
        <v>0.125</v>
      </c>
      <c r="F390">
        <v>0</v>
      </c>
      <c r="G390">
        <v>0.22500000000000001</v>
      </c>
    </row>
    <row r="391" spans="1:7" x14ac:dyDescent="0.15">
      <c r="A391" t="str">
        <f>HYPERLINK("./new_k5/query_cmdrels_weight_analyze/0.5_0.3_0.2/ul_328882.xlsx","ul_328882")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HYPERLINK("./new_k5/query_cmdrels_weight_analyze/0.5_0.3_0.2/ul_35131.xlsx","ul_35131")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0.66666666666666663</v>
      </c>
    </row>
    <row r="393" spans="1:7" x14ac:dyDescent="0.15">
      <c r="A393" t="str">
        <f>HYPERLINK("./new_k5/query_cmdrels_weight_analyze/0.5_0.3_0.2/ul_35333.xlsx","ul_35333")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HYPERLINK("./new_k5/query_cmdrels_weight_analyze/0.5_0.3_0.2/ul_35711.xlsx","ul_35711")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HYPERLINK("./new_k5/query_cmdrels_weight_analyze/0.5_0.3_0.2/ul_3575.xlsx","ul_3575")</f>
        <v>ul_3575</v>
      </c>
      <c r="B395">
        <v>0</v>
      </c>
      <c r="C395">
        <v>0</v>
      </c>
      <c r="D395">
        <v>8.3333333333333329E-2</v>
      </c>
      <c r="E395">
        <v>8.3333333333333329E-2</v>
      </c>
      <c r="F395">
        <v>8.3333333333333329E-2</v>
      </c>
      <c r="G395">
        <v>8.3333333333333329E-2</v>
      </c>
    </row>
    <row r="396" spans="1:7" x14ac:dyDescent="0.15">
      <c r="A396" t="str">
        <f>HYPERLINK("./new_k5/query_cmdrels_weight_analyze/0.5_0.3_0.2/ul_35832.xlsx","ul_35832")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HYPERLINK("./new_k5/query_cmdrels_weight_analyze/0.5_0.3_0.2/ul_370318.xlsx","ul_370318")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0.23809523809523811</v>
      </c>
      <c r="F397">
        <v>0.14285714285714279</v>
      </c>
      <c r="G397">
        <v>0.23809523809523811</v>
      </c>
    </row>
    <row r="398" spans="1:7" x14ac:dyDescent="0.15">
      <c r="A398" t="str">
        <f>HYPERLINK("./new_k5/query_cmdrels_weight_analyze/0.5_0.3_0.2/ul_37329.xlsx","ul_37329")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0.66666666666666663</v>
      </c>
      <c r="F398">
        <v>0.33333333333333331</v>
      </c>
      <c r="G398">
        <v>0.66666666666666663</v>
      </c>
    </row>
    <row r="399" spans="1:7" x14ac:dyDescent="0.15">
      <c r="A399" t="str">
        <f>HYPERLINK("./new_k5/query_cmdrels_weight_analyze/0.5_0.3_0.2/ul_38209.xlsx","ul_38209")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HYPERLINK("./new_k5/query_cmdrels_weight_analyze/0.5_0.3_0.2/ul_41246.xlsx","ul_41246")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HYPERLINK("./new_k5/query_cmdrels_weight_analyze/0.5_0.3_0.2/ul_41362.xlsx","ul_41362")</f>
        <v>ul_41362</v>
      </c>
      <c r="B401">
        <v>0</v>
      </c>
      <c r="C401">
        <v>0</v>
      </c>
      <c r="D401">
        <v>0</v>
      </c>
      <c r="E401">
        <v>8.3333333333333329E-2</v>
      </c>
      <c r="F401">
        <v>0</v>
      </c>
      <c r="G401">
        <v>8.3333333333333329E-2</v>
      </c>
    </row>
    <row r="402" spans="1:7" x14ac:dyDescent="0.15">
      <c r="A402" t="str">
        <f>HYPERLINK("./new_k5/query_cmdrels_weight_analyze/0.5_0.3_0.2/ul_48200.xlsx","ul_48200")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HYPERLINK("./new_k5/query_cmdrels_weight_analyze/0.5_0.3_0.2/ul_50098.xlsx","ul_50098")</f>
        <v>ul_50098</v>
      </c>
      <c r="B403">
        <v>0</v>
      </c>
      <c r="C403">
        <v>0</v>
      </c>
      <c r="D403">
        <v>0.1166666666666667</v>
      </c>
      <c r="E403">
        <v>0.05</v>
      </c>
      <c r="F403">
        <v>0.1166666666666667</v>
      </c>
      <c r="G403">
        <v>0.09</v>
      </c>
    </row>
    <row r="404" spans="1:7" x14ac:dyDescent="0.15">
      <c r="A404" t="str">
        <f>HYPERLINK("./new_k5/query_cmdrels_weight_analyze/0.5_0.3_0.2/ul_50785.xlsx","ul_50785")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HYPERLINK("./new_k5/query_cmdrels_weight_analyze/0.5_0.3_0.2/ul_5085.xlsx","ul_5085")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HYPERLINK("./new_k5/query_cmdrels_weight_analyze/0.5_0.3_0.2/ul_53737.xlsx","ul_53737")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HYPERLINK("./new_k5/query_cmdrels_weight_analyze/0.5_0.3_0.2/ul_55125.xlsx","ul_55125")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HYPERLINK("./new_k5/query_cmdrels_weight_analyze/0.5_0.3_0.2/ul_56453.xlsx","ul_56453")</f>
        <v>ul_56453</v>
      </c>
      <c r="B408">
        <v>0</v>
      </c>
      <c r="C408">
        <v>0.25</v>
      </c>
      <c r="D408">
        <v>8.3333333333333329E-2</v>
      </c>
      <c r="E408">
        <v>0.25</v>
      </c>
      <c r="F408">
        <v>8.3333333333333329E-2</v>
      </c>
      <c r="G408">
        <v>0.52500000000000002</v>
      </c>
    </row>
    <row r="409" spans="1:7" x14ac:dyDescent="0.15">
      <c r="A409" t="str">
        <f>HYPERLINK("./new_k5/query_cmdrels_weight_analyze/0.5_0.3_0.2/ul_63648.xlsx","ul_63648")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HYPERLINK("./new_k5/query_cmdrels_weight_analyze/0.5_0.3_0.2/ul_6402.xlsx","ul_6402")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0.33333333333333331</v>
      </c>
    </row>
    <row r="411" spans="1:7" x14ac:dyDescent="0.15">
      <c r="A411" t="str">
        <f>HYPERLINK("./new_k5/query_cmdrels_weight_analyze/0.5_0.3_0.2/ul_65106.xlsx","ul_65106")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0.66666666666666663</v>
      </c>
    </row>
    <row r="412" spans="1:7" x14ac:dyDescent="0.15">
      <c r="A412" t="str">
        <f>HYPERLINK("./new_k5/query_cmdrels_weight_analyze/0.5_0.3_0.2/ul_65932.xlsx","ul_65932")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HYPERLINK("./new_k5/query_cmdrels_weight_analyze/0.5_0.3_0.2/ul_6596.xlsx","ul_6596")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HYPERLINK("./new_k5/query_cmdrels_weight_analyze/0.5_0.3_0.2/ul_67503.xlsx","ul_67503")</f>
        <v>ul_67503</v>
      </c>
      <c r="B414">
        <v>0</v>
      </c>
      <c r="C414">
        <v>0.5</v>
      </c>
      <c r="D414">
        <v>0.25</v>
      </c>
      <c r="E414">
        <v>0.83333333333333326</v>
      </c>
      <c r="F414">
        <v>0.5</v>
      </c>
      <c r="G414">
        <v>0.83333333333333326</v>
      </c>
    </row>
    <row r="415" spans="1:7" x14ac:dyDescent="0.15">
      <c r="A415" t="str">
        <f>HYPERLINK("./new_k5/query_cmdrels_weight_analyze/0.5_0.3_0.2/ul_67592.xlsx","ul_67592")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HYPERLINK("./new_k5/query_cmdrels_weight_analyze/0.5_0.3_0.2/ul_70581.xlsx","ul_70581")</f>
        <v>ul_70581</v>
      </c>
      <c r="B416">
        <v>0</v>
      </c>
      <c r="C416">
        <v>0.2</v>
      </c>
      <c r="D416">
        <v>0.1</v>
      </c>
      <c r="E416">
        <v>0.6</v>
      </c>
      <c r="F416">
        <v>0.1</v>
      </c>
      <c r="G416">
        <v>0.6</v>
      </c>
    </row>
    <row r="417" spans="1:7" x14ac:dyDescent="0.15">
      <c r="A417" t="str">
        <f>HYPERLINK("./new_k5/query_cmdrels_weight_analyze/0.5_0.3_0.2/ul_70614.xlsx","ul_70614")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HYPERLINK("./new_k5/query_cmdrels_weight_analyze/0.5_0.3_0.2/ul_71465.xlsx","ul_71465")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HYPERLINK("./new_k5/query_cmdrels_weight_analyze/0.5_0.3_0.2/ul_7226.xlsx","ul_7226")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0.33333333333333331</v>
      </c>
      <c r="F419">
        <v>0.33333333333333331</v>
      </c>
      <c r="G419">
        <v>0.5</v>
      </c>
    </row>
    <row r="420" spans="1:7" x14ac:dyDescent="0.15">
      <c r="A420" t="str">
        <f>HYPERLINK("./new_k5/query_cmdrels_weight_analyze/0.5_0.3_0.2/ul_78182.xlsx","ul_78182")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</v>
      </c>
    </row>
    <row r="421" spans="1:7" x14ac:dyDescent="0.15">
      <c r="A421" t="str">
        <f>HYPERLINK("./new_k5/query_cmdrels_weight_analyze/0.5_0.3_0.2/ul_79678.xlsx","ul_79678")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HYPERLINK("./new_k5/query_cmdrels_weight_analyze/0.5_0.3_0.2/ul_79702.xlsx","ul_79702")</f>
        <v>ul_79702</v>
      </c>
      <c r="B422">
        <v>0</v>
      </c>
      <c r="C422">
        <v>0.33333333333333331</v>
      </c>
      <c r="D422">
        <v>0</v>
      </c>
      <c r="E422">
        <v>0.55555555555555547</v>
      </c>
      <c r="F422">
        <v>0</v>
      </c>
      <c r="G422">
        <v>0.75555555555555554</v>
      </c>
    </row>
    <row r="423" spans="1:7" x14ac:dyDescent="0.15">
      <c r="A423" t="str">
        <f>HYPERLINK("./new_k5/query_cmdrels_weight_analyze/0.5_0.3_0.2/ul_83593.xlsx","ul_83593")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HYPERLINK("./new_k5/query_cmdrels_weight_analyze/0.5_0.3_0.2/ul_84381.xlsx","ul_84381")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HYPERLINK("./new_k5/query_cmdrels_weight_analyze/0.5_0.3_0.2/ul_85180.xlsx","ul_85180")</f>
        <v>ul_85180</v>
      </c>
      <c r="B425">
        <v>0</v>
      </c>
      <c r="C425">
        <v>0</v>
      </c>
      <c r="D425">
        <v>0.16666666666666671</v>
      </c>
      <c r="E425">
        <v>0.16666666666666671</v>
      </c>
      <c r="F425">
        <v>0.16666666666666671</v>
      </c>
      <c r="G425">
        <v>0.33333333333333331</v>
      </c>
    </row>
    <row r="426" spans="1:7" x14ac:dyDescent="0.15">
      <c r="A426" t="str">
        <f>HYPERLINK("./new_k5/query_cmdrels_weight_analyze/0.5_0.3_0.2/ul_86071.xlsx","ul_86071")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HYPERLINK("./new_k5/query_cmdrels_weight_analyze/0.5_0.3_0.2/ul_86729.xlsx","ul_86729")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HYPERLINK("./new_k5/query_cmdrels_weight_analyze/0.5_0.3_0.2/ul_88824.xlsx","ul_88824")</f>
        <v>ul_88824</v>
      </c>
      <c r="B428">
        <v>0</v>
      </c>
      <c r="C428">
        <v>0.33333333333333331</v>
      </c>
      <c r="D428">
        <v>0</v>
      </c>
      <c r="E428">
        <v>0.33333333333333331</v>
      </c>
      <c r="F428">
        <v>0</v>
      </c>
      <c r="G428">
        <v>0.33333333333333331</v>
      </c>
    </row>
    <row r="429" spans="1:7" x14ac:dyDescent="0.15">
      <c r="A429" t="str">
        <f>HYPERLINK("./new_k5/query_cmdrels_weight_analyze/0.5_0.3_0.2/ul_8945.xlsx","ul_8945")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HYPERLINK("./new_k5/query_cmdrels_weight_analyze/0.5_0.3_0.2/ul_89933.xlsx","ul_89933")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HYPERLINK("./new_k5/query_cmdrels_weight_analyze/0.5_0.3_0.2/ul_91297.xlsx","ul_91297")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HYPERLINK("./new_k5/query_cmdrels_weight_analyze/0.5_0.3_0.2/ul_9252.xlsx","ul_9252")</f>
        <v>ul_9252</v>
      </c>
      <c r="B432">
        <v>0</v>
      </c>
      <c r="C432">
        <v>0</v>
      </c>
      <c r="D432">
        <v>0.23333333333333331</v>
      </c>
      <c r="E432">
        <v>6.6666666666666666E-2</v>
      </c>
      <c r="F432">
        <v>0.23333333333333331</v>
      </c>
      <c r="G432">
        <v>0.1466666666666667</v>
      </c>
    </row>
    <row r="433" spans="1:7" x14ac:dyDescent="0.15">
      <c r="A433" t="str">
        <f>HYPERLINK("./new_k5/query_cmdrels_weight_analyze/0.5_0.3_0.2/ul_92560.xlsx","ul_92560")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0.7</v>
      </c>
    </row>
    <row r="434" spans="1:7" x14ac:dyDescent="0.15">
      <c r="A434" t="str">
        <f>HYPERLINK("./new_k5/query_cmdrels_weight_analyze/0.5_0.3_0.2/ul_92799.xlsx","ul_92799")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0.5</v>
      </c>
      <c r="F434">
        <v>0.53611111111111109</v>
      </c>
      <c r="G434">
        <v>0.66666666666666663</v>
      </c>
    </row>
    <row r="435" spans="1:7" x14ac:dyDescent="0.15">
      <c r="A435" t="str">
        <f>HYPERLINK("./new_k5/query_cmdrels_weight_analyze/0.5_0.3_0.2/ul_93139.xlsx","ul_93139")</f>
        <v>ul_93139</v>
      </c>
      <c r="B435">
        <v>0</v>
      </c>
      <c r="C435">
        <v>0.5</v>
      </c>
      <c r="D435">
        <v>0.25</v>
      </c>
      <c r="E435">
        <v>0.5</v>
      </c>
      <c r="F435">
        <v>0.25</v>
      </c>
      <c r="G435">
        <v>0.5</v>
      </c>
    </row>
    <row r="436" spans="1:7" x14ac:dyDescent="0.15">
      <c r="A436" t="str">
        <f>HYPERLINK("./new_k5/query_cmdrels_weight_analyze/0.5_0.3_0.2/ul_98461.xlsx","ul_98461")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HYPERLINK("./new_k5/query_cmdrels_weight_analyze/0.5_0.4_0.1/au_102733.xlsx","au_102733")</f>
        <v>au_102733</v>
      </c>
      <c r="B3">
        <v>0.25</v>
      </c>
      <c r="C3">
        <v>0</v>
      </c>
      <c r="D3">
        <v>0.5</v>
      </c>
      <c r="E3">
        <v>0.125</v>
      </c>
      <c r="F3">
        <v>0.5</v>
      </c>
      <c r="G3">
        <v>0.125</v>
      </c>
    </row>
    <row r="4" spans="1:7" x14ac:dyDescent="0.15">
      <c r="A4" t="str">
        <f>HYPERLINK("./new_k5/query_cmdrels_weight_analyze/0.5_0.4_0.1/au_1029436.xlsx","au_1029436")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HYPERLINK("./new_k5/query_cmdrels_weight_analyze/0.5_0.4_0.1/au_1029502.xlsx","au_1029502")</f>
        <v>au_1029502</v>
      </c>
      <c r="B5">
        <v>0.25</v>
      </c>
      <c r="C5">
        <v>0</v>
      </c>
      <c r="D5">
        <v>0.25</v>
      </c>
      <c r="E5">
        <v>0.125</v>
      </c>
      <c r="F5">
        <v>0.375</v>
      </c>
      <c r="G5">
        <v>0.125</v>
      </c>
    </row>
    <row r="6" spans="1:7" x14ac:dyDescent="0.15">
      <c r="A6" t="str">
        <f>HYPERLINK("./new_k5/query_cmdrels_weight_analyze/0.5_0.4_0.1/au_1029531.xlsx","au_1029531")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HYPERLINK("./new_k5/query_cmdrels_weight_analyze/0.5_0.4_0.1/au_104542.xlsx","au_104542")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HYPERLINK("./new_k5/query_cmdrels_weight_analyze/0.5_0.4_0.1/au_109070.xlsx","au_109070")</f>
        <v>au_109070</v>
      </c>
      <c r="B8">
        <v>0</v>
      </c>
      <c r="C8">
        <v>0</v>
      </c>
      <c r="D8">
        <v>0.23333333333333331</v>
      </c>
      <c r="E8">
        <v>0</v>
      </c>
      <c r="F8">
        <v>0.3833333333333333</v>
      </c>
      <c r="G8">
        <v>0.05</v>
      </c>
    </row>
    <row r="9" spans="1:7" x14ac:dyDescent="0.15">
      <c r="A9" t="str">
        <f>HYPERLINK("./new_k5/query_cmdrels_weight_analyze/0.5_0.4_0.1/au_109381.xlsx","au_109381")</f>
        <v>au_109381</v>
      </c>
      <c r="B9">
        <v>0</v>
      </c>
      <c r="C9">
        <v>0.5</v>
      </c>
      <c r="D9">
        <v>0.25</v>
      </c>
      <c r="E9">
        <v>0.5</v>
      </c>
      <c r="F9">
        <v>0.25</v>
      </c>
      <c r="G9">
        <v>0.7</v>
      </c>
    </row>
    <row r="10" spans="1:7" x14ac:dyDescent="0.15">
      <c r="A10" t="str">
        <f>HYPERLINK("./new_k5/query_cmdrels_weight_analyze/0.5_0.4_0.1/au_110477.xlsx","au_110477")</f>
        <v>au_110477</v>
      </c>
      <c r="B10">
        <v>0.25</v>
      </c>
      <c r="C10">
        <v>0.25</v>
      </c>
      <c r="D10">
        <v>0.5</v>
      </c>
      <c r="E10">
        <v>0.75</v>
      </c>
      <c r="F10">
        <v>0.5</v>
      </c>
      <c r="G10">
        <v>0.75</v>
      </c>
    </row>
    <row r="11" spans="1:7" x14ac:dyDescent="0.15">
      <c r="A11" t="str">
        <f>HYPERLINK("./new_k5/query_cmdrels_weight_analyze/0.5_0.4_0.1/au_111678.xlsx","au_111678")</f>
        <v>au_111678</v>
      </c>
      <c r="B11">
        <v>0</v>
      </c>
      <c r="C11">
        <v>0.33333333333333331</v>
      </c>
      <c r="D11">
        <v>0.1111111111111111</v>
      </c>
      <c r="E11">
        <v>0.33333333333333331</v>
      </c>
      <c r="F11">
        <v>0.1111111111111111</v>
      </c>
      <c r="G11">
        <v>0.33333333333333331</v>
      </c>
    </row>
    <row r="12" spans="1:7" x14ac:dyDescent="0.15">
      <c r="A12" t="str">
        <f>HYPERLINK("./new_k5/query_cmdrels_weight_analyze/0.5_0.4_0.1/au_112512.xlsx","au_112512")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HYPERLINK("./new_k5/query_cmdrels_weight_analyze/0.5_0.4_0.1/au_115369.xlsx","au_115369")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HYPERLINK("./new_k5/query_cmdrels_weight_analyze/0.5_0.4_0.1/au_11789.xlsx","au_11789")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HYPERLINK("./new_k5/query_cmdrels_weight_analyze/0.5_0.4_0.1/au_117950.xlsx","au_117950")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0.32500000000000001</v>
      </c>
    </row>
    <row r="16" spans="1:7" x14ac:dyDescent="0.15">
      <c r="A16" t="str">
        <f>HYPERLINK("./new_k5/query_cmdrels_weight_analyze/0.5_0.4_0.1/au_122113.xlsx","au_122113")</f>
        <v>au_122113</v>
      </c>
      <c r="B16">
        <v>0.25</v>
      </c>
      <c r="C16">
        <v>0</v>
      </c>
      <c r="D16">
        <v>0.25</v>
      </c>
      <c r="E16">
        <v>8.3333333333333329E-2</v>
      </c>
      <c r="F16">
        <v>0.25</v>
      </c>
      <c r="G16">
        <v>0.20833333333333329</v>
      </c>
    </row>
    <row r="17" spans="1:7" x14ac:dyDescent="0.15">
      <c r="A17" t="str">
        <f>HYPERLINK("./new_k5/query_cmdrels_weight_analyze/0.5_0.4_0.1/au_123798.xlsx","au_123798")</f>
        <v>au_123798</v>
      </c>
      <c r="B17">
        <v>0</v>
      </c>
      <c r="C17">
        <v>0</v>
      </c>
      <c r="D17">
        <v>5.5555555555555552E-2</v>
      </c>
      <c r="E17">
        <v>8.3333333333333329E-2</v>
      </c>
      <c r="F17">
        <v>0.23888888888888879</v>
      </c>
      <c r="G17">
        <v>0.26666666666666672</v>
      </c>
    </row>
    <row r="18" spans="1:7" x14ac:dyDescent="0.15">
      <c r="A18" t="str">
        <f>HYPERLINK("./new_k5/query_cmdrels_weight_analyze/0.5_0.4_0.1/au_125257.xlsx","au_125257")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HYPERLINK("./new_k5/query_cmdrels_weight_analyze/0.5_0.4_0.1/au_126153.xlsx","au_126153")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0.33333333333333331</v>
      </c>
      <c r="F19">
        <v>0.45833333333333331</v>
      </c>
      <c r="G19">
        <v>0.43333333333333329</v>
      </c>
    </row>
    <row r="20" spans="1:7" x14ac:dyDescent="0.15">
      <c r="A20" t="str">
        <f>HYPERLINK("./new_k5/query_cmdrels_weight_analyze/0.5_0.4_0.1/au_127326.xlsx","au_127326")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HYPERLINK("./new_k5/query_cmdrels_weight_analyze/0.5_0.4_0.1/au_128463.xlsx","au_128463")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HYPERLINK("./new_k5/query_cmdrels_weight_analyze/0.5_0.4_0.1/au_130393.xlsx","au_130393")</f>
        <v>au_130393</v>
      </c>
      <c r="B22">
        <v>0</v>
      </c>
      <c r="C22">
        <v>0</v>
      </c>
      <c r="D22">
        <v>0.125</v>
      </c>
      <c r="E22">
        <v>0.125</v>
      </c>
      <c r="F22">
        <v>0.125</v>
      </c>
      <c r="G22">
        <v>0.25</v>
      </c>
    </row>
    <row r="23" spans="1:7" x14ac:dyDescent="0.15">
      <c r="A23" t="str">
        <f>HYPERLINK("./new_k5/query_cmdrels_weight_analyze/0.5_0.4_0.1/au_131570.xlsx","au_131570")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HYPERLINK("./new_k5/query_cmdrels_weight_analyze/0.5_0.4_0.1/au_133318.xlsx","au_133318")</f>
        <v>au_133318</v>
      </c>
      <c r="B24">
        <v>0</v>
      </c>
      <c r="C24">
        <v>0.25</v>
      </c>
      <c r="D24">
        <v>0</v>
      </c>
      <c r="E24">
        <v>0.41666666666666657</v>
      </c>
      <c r="F24">
        <v>0</v>
      </c>
      <c r="G24">
        <v>0.41666666666666657</v>
      </c>
    </row>
    <row r="25" spans="1:7" x14ac:dyDescent="0.15">
      <c r="A25" t="str">
        <f>HYPERLINK("./new_k5/query_cmdrels_weight_analyze/0.5_0.4_0.1/au_133343.xlsx","au_133343")</f>
        <v>au_133343</v>
      </c>
      <c r="B25">
        <v>0</v>
      </c>
      <c r="C25">
        <v>0</v>
      </c>
      <c r="D25">
        <v>0</v>
      </c>
      <c r="E25">
        <v>0.38888888888888878</v>
      </c>
      <c r="F25">
        <v>0</v>
      </c>
      <c r="G25">
        <v>0.38888888888888878</v>
      </c>
    </row>
    <row r="26" spans="1:7" x14ac:dyDescent="0.15">
      <c r="A26" t="str">
        <f>HYPERLINK("./new_k5/query_cmdrels_weight_analyze/0.5_0.4_0.1/au_133389.xlsx","au_133389")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HYPERLINK("./new_k5/query_cmdrels_weight_analyze/0.5_0.4_0.1/au_141277.xlsx","au_141277")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HYPERLINK("./new_k5/query_cmdrels_weight_analyze/0.5_0.4_0.1/au_143819.xlsx","au_143819")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HYPERLINK("./new_k5/query_cmdrels_weight_analyze/0.5_0.4_0.1/au_145935.xlsx","au_145935")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HYPERLINK("./new_k5/query_cmdrels_weight_analyze/0.5_0.4_0.1/au_147241.xlsx","au_147241")</f>
        <v>au_147241</v>
      </c>
      <c r="B30">
        <v>0</v>
      </c>
      <c r="C30">
        <v>0</v>
      </c>
      <c r="D30">
        <v>0.29166666666666657</v>
      </c>
      <c r="E30">
        <v>0.29166666666666657</v>
      </c>
      <c r="F30">
        <v>0.29166666666666657</v>
      </c>
      <c r="G30">
        <v>0.47916666666666657</v>
      </c>
    </row>
    <row r="31" spans="1:7" x14ac:dyDescent="0.15">
      <c r="A31" t="str">
        <f>HYPERLINK("./new_k5/query_cmdrels_weight_analyze/0.5_0.4_0.1/au_147800.xlsx","au_147800")</f>
        <v>au_147800</v>
      </c>
      <c r="B31">
        <v>0</v>
      </c>
      <c r="C31">
        <v>0.33333333333333331</v>
      </c>
      <c r="D31">
        <v>0.1111111111111111</v>
      </c>
      <c r="E31">
        <v>0.33333333333333331</v>
      </c>
      <c r="F31">
        <v>0.1111111111111111</v>
      </c>
      <c r="G31">
        <v>0.33333333333333331</v>
      </c>
    </row>
    <row r="32" spans="1:7" x14ac:dyDescent="0.15">
      <c r="A32" t="str">
        <f>HYPERLINK("./new_k5/query_cmdrels_weight_analyze/0.5_0.4_0.1/au_148321.xlsx","au_148321")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0.40277777777777768</v>
      </c>
    </row>
    <row r="33" spans="1:7" x14ac:dyDescent="0.15">
      <c r="A33" t="str">
        <f>HYPERLINK("./new_k5/query_cmdrels_weight_analyze/0.5_0.4_0.1/au_148638.xlsx","au_148638")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HYPERLINK("./new_k5/query_cmdrels_weight_analyze/0.5_0.4_0.1/au_151049.xlsx","au_151049")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HYPERLINK("./new_k5/query_cmdrels_weight_analyze/0.5_0.4_0.1/au_151941.xlsx","au_151941")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HYPERLINK("./new_k5/query_cmdrels_weight_analyze/0.5_0.4_0.1/au_152297.xlsx","au_152297")</f>
        <v>au_152297</v>
      </c>
      <c r="B36">
        <v>0</v>
      </c>
      <c r="C36">
        <v>0</v>
      </c>
      <c r="D36">
        <v>7.1428571428571425E-2</v>
      </c>
      <c r="E36">
        <v>7.1428571428571425E-2</v>
      </c>
      <c r="F36">
        <v>7.1428571428571425E-2</v>
      </c>
      <c r="G36">
        <v>0.22857142857142859</v>
      </c>
    </row>
    <row r="37" spans="1:7" x14ac:dyDescent="0.15">
      <c r="A37" t="str">
        <f>HYPERLINK("./new_k5/query_cmdrels_weight_analyze/0.5_0.4_0.1/au_153976.xlsx","au_153976")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0.16666666666666671</v>
      </c>
      <c r="F37">
        <v>0.33333333333333331</v>
      </c>
      <c r="G37">
        <v>0.35</v>
      </c>
    </row>
    <row r="38" spans="1:7" x14ac:dyDescent="0.15">
      <c r="A38" t="str">
        <f>HYPERLINK("./new_k5/query_cmdrels_weight_analyze/0.5_0.4_0.1/au_154431.xlsx","au_154431")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HYPERLINK("./new_k5/query_cmdrels_weight_analyze/0.5_0.4_0.1/au_159708.xlsx","au_159708")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0.33333333333333331</v>
      </c>
      <c r="F39">
        <v>0.33333333333333331</v>
      </c>
      <c r="G39">
        <v>0.33333333333333331</v>
      </c>
    </row>
    <row r="40" spans="1:7" x14ac:dyDescent="0.15">
      <c r="A40" t="str">
        <f>HYPERLINK("./new_k5/query_cmdrels_weight_analyze/0.5_0.4_0.1/au_160869.xlsx","au_160869")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HYPERLINK("./new_k5/query_cmdrels_weight_analyze/0.5_0.4_0.1/au_161313.xlsx","au_161313")</f>
        <v>au_161313</v>
      </c>
      <c r="B41">
        <v>0.5</v>
      </c>
      <c r="C41">
        <v>0</v>
      </c>
      <c r="D41">
        <v>0.5</v>
      </c>
      <c r="E41">
        <v>0.16666666666666671</v>
      </c>
      <c r="F41">
        <v>0.5</v>
      </c>
      <c r="G41">
        <v>0.16666666666666671</v>
      </c>
    </row>
    <row r="42" spans="1:7" x14ac:dyDescent="0.15">
      <c r="A42" t="str">
        <f>HYPERLINK("./new_k5/query_cmdrels_weight_analyze/0.5_0.4_0.1/au_162075.xlsx","au_162075")</f>
        <v>au_162075</v>
      </c>
      <c r="B42">
        <v>0.25</v>
      </c>
      <c r="C42">
        <v>0.25</v>
      </c>
      <c r="D42">
        <v>0.5</v>
      </c>
      <c r="E42">
        <v>0.5</v>
      </c>
      <c r="F42">
        <v>0.5</v>
      </c>
      <c r="G42">
        <v>0.5</v>
      </c>
    </row>
    <row r="43" spans="1:7" x14ac:dyDescent="0.15">
      <c r="A43" t="str">
        <f>HYPERLINK("./new_k5/query_cmdrels_weight_analyze/0.5_0.4_0.1/au_16277.xlsx","au_16277")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0.83333333333333337</v>
      </c>
    </row>
    <row r="44" spans="1:7" x14ac:dyDescent="0.15">
      <c r="A44" t="str">
        <f>HYPERLINK("./new_k5/query_cmdrels_weight_analyze/0.5_0.4_0.1/au_163155.xlsx","au_163155")</f>
        <v>au_163155</v>
      </c>
      <c r="B44">
        <v>0.125</v>
      </c>
      <c r="C44">
        <v>0.125</v>
      </c>
      <c r="D44">
        <v>0.375</v>
      </c>
      <c r="E44">
        <v>0.20833333333333329</v>
      </c>
      <c r="F44">
        <v>0.5</v>
      </c>
      <c r="G44">
        <v>0.40208333333333329</v>
      </c>
    </row>
    <row r="45" spans="1:7" x14ac:dyDescent="0.15">
      <c r="A45" t="str">
        <f>HYPERLINK("./new_k5/query_cmdrels_weight_analyze/0.5_0.4_0.1/au_164473.xlsx","au_164473")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HYPERLINK("./new_k5/query_cmdrels_weight_analyze/0.5_0.4_0.1/au_16584.xlsx","au_16584")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0.15151515151515149</v>
      </c>
      <c r="F46">
        <v>0.13636363636363641</v>
      </c>
      <c r="G46">
        <v>0.2196969696969697</v>
      </c>
    </row>
    <row r="47" spans="1:7" x14ac:dyDescent="0.15">
      <c r="A47" t="str">
        <f>HYPERLINK("./new_k5/query_cmdrels_weight_analyze/0.5_0.4_0.1/au_166420.xlsx","au_166420")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HYPERLINK("./new_k5/query_cmdrels_weight_analyze/0.5_0.4_0.1/au_169473.xlsx","au_169473")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0.16666666666666671</v>
      </c>
      <c r="F48">
        <v>0.43333333333333329</v>
      </c>
      <c r="G48">
        <v>0.35</v>
      </c>
    </row>
    <row r="49" spans="1:7" x14ac:dyDescent="0.15">
      <c r="A49" t="str">
        <f>HYPERLINK("./new_k5/query_cmdrels_weight_analyze/0.5_0.4_0.1/au_169516.xlsx","au_169516")</f>
        <v>au_169516</v>
      </c>
      <c r="B49">
        <v>0.25</v>
      </c>
      <c r="C49">
        <v>0.25</v>
      </c>
      <c r="D49">
        <v>0.25</v>
      </c>
      <c r="E49">
        <v>0.41666666666666657</v>
      </c>
      <c r="F49">
        <v>0.25</v>
      </c>
      <c r="G49">
        <v>0.41666666666666657</v>
      </c>
    </row>
    <row r="50" spans="1:7" x14ac:dyDescent="0.15">
      <c r="A50" t="str">
        <f>HYPERLINK("./new_k5/query_cmdrels_weight_analyze/0.5_0.4_0.1/au_174292.xlsx","au_174292")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HYPERLINK("./new_k5/query_cmdrels_weight_analyze/0.5_0.4_0.1/au_178481.xlsx","au_178481")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HYPERLINK("./new_k5/query_cmdrels_weight_analyze/0.5_0.4_0.1/au_180925.xlsx","au_180925")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HYPERLINK("./new_k5/query_cmdrels_weight_analyze/0.5_0.4_0.1/au_187888.xlsx","au_187888")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HYPERLINK("./new_k5/query_cmdrels_weight_analyze/0.5_0.4_0.1/au_191390.xlsx","au_191390")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HYPERLINK("./new_k5/query_cmdrels_weight_analyze/0.5_0.4_0.1/au_192798.xlsx","au_192798")</f>
        <v>au_192798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tr">
        <f>HYPERLINK("./new_k5/query_cmdrels_weight_analyze/0.5_0.4_0.1/au_201775.xlsx","au_201775")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0.33333333333333331</v>
      </c>
      <c r="F56">
        <v>0.66666666666666663</v>
      </c>
      <c r="G56">
        <v>0.70000000000000007</v>
      </c>
    </row>
    <row r="57" spans="1:7" x14ac:dyDescent="0.15">
      <c r="A57" t="str">
        <f>HYPERLINK("./new_k5/query_cmdrels_weight_analyze/0.5_0.4_0.1/au_204166.xlsx","au_204166")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HYPERLINK("./new_k5/query_cmdrels_weight_analyze/0.5_0.4_0.1/au_207447.xlsx","au_207447")</f>
        <v>au_207447</v>
      </c>
      <c r="B58">
        <v>0.33333333333333331</v>
      </c>
      <c r="C58">
        <v>0</v>
      </c>
      <c r="D58">
        <v>0.33333333333333331</v>
      </c>
      <c r="E58">
        <v>0</v>
      </c>
      <c r="F58">
        <v>0.33333333333333331</v>
      </c>
      <c r="G58">
        <v>0</v>
      </c>
    </row>
    <row r="59" spans="1:7" x14ac:dyDescent="0.15">
      <c r="A59" t="str">
        <f>HYPERLINK("./new_k5/query_cmdrels_weight_analyze/0.5_0.4_0.1/au_210680.xlsx","au_210680")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HYPERLINK("./new_k5/query_cmdrels_weight_analyze/0.5_0.4_0.1/au_214246.xlsx","au_214246")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HYPERLINK("./new_k5/query_cmdrels_weight_analyze/0.5_0.4_0.1/au_214643.xlsx","au_214643")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HYPERLINK("./new_k5/query_cmdrels_weight_analyze/0.5_0.4_0.1/au_2194.xlsx","au_2194")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HYPERLINK("./new_k5/query_cmdrels_weight_analyze/0.5_0.4_0.1/au_221962.xlsx","au_221962")</f>
        <v>au_221962</v>
      </c>
      <c r="B63">
        <v>0</v>
      </c>
      <c r="C63">
        <v>0</v>
      </c>
      <c r="D63">
        <v>5.5555555555555552E-2</v>
      </c>
      <c r="E63">
        <v>5.5555555555555552E-2</v>
      </c>
      <c r="F63">
        <v>0.1388888888888889</v>
      </c>
      <c r="G63">
        <v>0.23888888888888879</v>
      </c>
    </row>
    <row r="64" spans="1:7" x14ac:dyDescent="0.15">
      <c r="A64" t="str">
        <f>HYPERLINK("./new_k5/query_cmdrels_weight_analyze/0.5_0.4_0.1/au_22608.xlsx","au_22608")</f>
        <v>au_22608</v>
      </c>
      <c r="B64">
        <v>0.33333333333333331</v>
      </c>
      <c r="C64">
        <v>0</v>
      </c>
      <c r="D64">
        <v>0.33333333333333331</v>
      </c>
      <c r="E64">
        <v>0.16666666666666671</v>
      </c>
      <c r="F64">
        <v>0.33333333333333331</v>
      </c>
      <c r="G64">
        <v>0.33333333333333331</v>
      </c>
    </row>
    <row r="65" spans="1:7" x14ac:dyDescent="0.15">
      <c r="A65" t="str">
        <f>HYPERLINK("./new_k5/query_cmdrels_weight_analyze/0.5_0.4_0.1/au_230698.xlsx","au_230698")</f>
        <v>au_230698</v>
      </c>
      <c r="B65">
        <v>0.125</v>
      </c>
      <c r="C65">
        <v>0.125</v>
      </c>
      <c r="D65">
        <v>0.25</v>
      </c>
      <c r="E65">
        <v>0.20833333333333329</v>
      </c>
      <c r="F65">
        <v>0.32500000000000001</v>
      </c>
      <c r="G65">
        <v>0.28333333333333333</v>
      </c>
    </row>
    <row r="66" spans="1:7" x14ac:dyDescent="0.15">
      <c r="A66" t="str">
        <f>HYPERLINK("./new_k5/query_cmdrels_weight_analyze/0.5_0.4_0.1/au_232442.xlsx","au_232442")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HYPERLINK("./new_k5/query_cmdrels_weight_analyze/0.5_0.4_0.1/au_233378.xlsx","au_233378")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HYPERLINK("./new_k5/query_cmdrels_weight_analyze/0.5_0.4_0.1/au_24027.xlsx","au_24027")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HYPERLINK("./new_k5/query_cmdrels_weight_analyze/0.5_0.4_0.1/au_246647.xlsx","au_246647")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HYPERLINK("./new_k5/query_cmdrels_weight_analyze/0.5_0.4_0.1/au_254424.xlsx","au_254424")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HYPERLINK("./new_k5/query_cmdrels_weight_analyze/0.5_0.4_0.1/au_255890.xlsx","au_255890")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HYPERLINK("./new_k5/query_cmdrels_weight_analyze/0.5_0.4_0.1/au_257248.xlsx","au_257248")</f>
        <v>au_257248</v>
      </c>
      <c r="B72">
        <v>0</v>
      </c>
      <c r="C72">
        <v>0</v>
      </c>
      <c r="D72">
        <v>0.16666666666666671</v>
      </c>
      <c r="E72">
        <v>4.7619047619047623E-2</v>
      </c>
      <c r="F72">
        <v>0.25238095238095237</v>
      </c>
      <c r="G72">
        <v>0.119047619047619</v>
      </c>
    </row>
    <row r="73" spans="1:7" x14ac:dyDescent="0.15">
      <c r="A73" t="str">
        <f>HYPERLINK("./new_k5/query_cmdrels_weight_analyze/0.5_0.4_0.1/au_259354.xlsx","au_259354")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0.42857142857142849</v>
      </c>
    </row>
    <row r="74" spans="1:7" x14ac:dyDescent="0.15">
      <c r="A74" t="str">
        <f>HYPERLINK("./new_k5/query_cmdrels_weight_analyze/0.5_0.4_0.1/au_263378.xlsx","au_263378")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0.47499999999999998</v>
      </c>
    </row>
    <row r="75" spans="1:7" x14ac:dyDescent="0.15">
      <c r="A75" t="str">
        <f>HYPERLINK("./new_k5/query_cmdrels_weight_analyze/0.5_0.4_0.1/au_264215.xlsx","au_264215")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HYPERLINK("./new_k5/query_cmdrels_weight_analyze/0.5_0.4_0.1/au_265176.xlsx","au_265176")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HYPERLINK("./new_k5/query_cmdrels_weight_analyze/0.5_0.4_0.1/au_275704.xlsx","au_275704")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HYPERLINK("./new_k5/query_cmdrels_weight_analyze/0.5_0.4_0.1/au_276669.xlsx","au_276669")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HYPERLINK("./new_k5/query_cmdrels_weight_analyze/0.5_0.4_0.1/au_277565.xlsx","au_277565")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HYPERLINK("./new_k5/query_cmdrels_weight_analyze/0.5_0.4_0.1/au_278403.xlsx","au_278403")</f>
        <v>au_278403</v>
      </c>
      <c r="B80">
        <v>0</v>
      </c>
      <c r="C80">
        <v>0.25</v>
      </c>
      <c r="D80">
        <v>8.3333333333333329E-2</v>
      </c>
      <c r="E80">
        <v>0.25</v>
      </c>
      <c r="F80">
        <v>0.20833333333333329</v>
      </c>
      <c r="G80">
        <v>0.375</v>
      </c>
    </row>
    <row r="81" spans="1:7" x14ac:dyDescent="0.15">
      <c r="A81" t="str">
        <f>HYPERLINK("./new_k5/query_cmdrels_weight_analyze/0.5_0.4_0.1/au_28039.xlsx","au_28039")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HYPERLINK("./new_k5/query_cmdrels_weight_analyze/0.5_0.4_0.1/au_281509.xlsx","au_281509")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HYPERLINK("./new_k5/query_cmdrels_weight_analyze/0.5_0.4_0.1/au_282806.xlsx","au_282806")</f>
        <v>au_282806</v>
      </c>
      <c r="B83">
        <v>0</v>
      </c>
      <c r="C83">
        <v>0.33333333333333331</v>
      </c>
      <c r="D83">
        <v>0.38888888888888878</v>
      </c>
      <c r="E83">
        <v>0.55555555555555547</v>
      </c>
      <c r="F83">
        <v>0.38888888888888878</v>
      </c>
      <c r="G83">
        <v>0.75555555555555554</v>
      </c>
    </row>
    <row r="84" spans="1:7" x14ac:dyDescent="0.15">
      <c r="A84" t="str">
        <f>HYPERLINK("./new_k5/query_cmdrels_weight_analyze/0.5_0.4_0.1/au_283559.xlsx","au_283559")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HYPERLINK("./new_k5/query_cmdrels_weight_analyze/0.5_0.4_0.1/au_285539.xlsx","au_285539")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HYPERLINK("./new_k5/query_cmdrels_weight_analyze/0.5_0.4_0.1/au_287532.xlsx","au_287532")</f>
        <v>au_287532</v>
      </c>
      <c r="B86">
        <v>0</v>
      </c>
      <c r="C86">
        <v>0</v>
      </c>
      <c r="D86">
        <v>0</v>
      </c>
      <c r="E86">
        <v>8.3333333333333329E-2</v>
      </c>
      <c r="F86">
        <v>0</v>
      </c>
      <c r="G86">
        <v>8.3333333333333329E-2</v>
      </c>
    </row>
    <row r="87" spans="1:7" x14ac:dyDescent="0.15">
      <c r="A87" t="str">
        <f>HYPERLINK("./new_k5/query_cmdrels_weight_analyze/0.5_0.4_0.1/au_294257.xlsx","au_294257")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HYPERLINK("./new_k5/query_cmdrels_weight_analyze/0.5_0.4_0.1/au_296155.xlsx","au_296155")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HYPERLINK("./new_k5/query_cmdrels_weight_analyze/0.5_0.4_0.1/au_299975.xlsx","au_299975")</f>
        <v>au_299975</v>
      </c>
      <c r="B89">
        <v>0.25</v>
      </c>
      <c r="C89">
        <v>0</v>
      </c>
      <c r="D89">
        <v>0.5</v>
      </c>
      <c r="E89">
        <v>0.125</v>
      </c>
      <c r="F89">
        <v>0.6875</v>
      </c>
      <c r="G89">
        <v>0.25</v>
      </c>
    </row>
    <row r="90" spans="1:7" x14ac:dyDescent="0.15">
      <c r="A90" t="str">
        <f>HYPERLINK("./new_k5/query_cmdrels_weight_analyze/0.5_0.4_0.1/au_301096.xlsx","au_301096")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HYPERLINK("./new_k5/query_cmdrels_weight_analyze/0.5_0.4_0.1/au_303593.xlsx","au_303593")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HYPERLINK("./new_k5/query_cmdrels_weight_analyze/0.5_0.4_0.1/au_303849.xlsx","au_303849")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HYPERLINK("./new_k5/query_cmdrels_weight_analyze/0.5_0.4_0.1/au_307541.xlsx","au_307541")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HYPERLINK("./new_k5/query_cmdrels_weight_analyze/0.5_0.4_0.1/au_307688.xlsx","au_307688")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HYPERLINK("./new_k5/query_cmdrels_weight_analyze/0.5_0.4_0.1/au_309047.xlsx","au_309047")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HYPERLINK("./new_k5/query_cmdrels_weight_analyze/0.5_0.4_0.1/au_311558.xlsx","au_311558")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0.41666666666666657</v>
      </c>
    </row>
    <row r="97" spans="1:7" x14ac:dyDescent="0.15">
      <c r="A97" t="str">
        <f>HYPERLINK("./new_k5/query_cmdrels_weight_analyze/0.5_0.4_0.1/au_318973.xlsx","au_318973")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HYPERLINK("./new_k5/query_cmdrels_weight_analyze/0.5_0.4_0.1/au_3205.xlsx","au_3205")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HYPERLINK("./new_k5/query_cmdrels_weight_analyze/0.5_0.4_0.1/au_323131.xlsx","au_323131")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HYPERLINK("./new_k5/query_cmdrels_weight_analyze/0.5_0.4_0.1/au_323392.xlsx","au_323392")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HYPERLINK("./new_k5/query_cmdrels_weight_analyze/0.5_0.4_0.1/au_325368.xlsx","au_325368")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HYPERLINK("./new_k5/query_cmdrels_weight_analyze/0.5_0.4_0.1/au_328162.xlsx","au_328162")</f>
        <v>au_328162</v>
      </c>
      <c r="B102">
        <v>0.33333333333333331</v>
      </c>
      <c r="C102">
        <v>0.33333333333333331</v>
      </c>
      <c r="D102">
        <v>1</v>
      </c>
      <c r="E102">
        <v>0.33333333333333331</v>
      </c>
      <c r="F102">
        <v>1</v>
      </c>
      <c r="G102">
        <v>0.5</v>
      </c>
    </row>
    <row r="103" spans="1:7" x14ac:dyDescent="0.15">
      <c r="A103" t="str">
        <f>HYPERLINK("./new_k5/query_cmdrels_weight_analyze/0.5_0.4_0.1/au_330148.xlsx","au_330148")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HYPERLINK("./new_k5/query_cmdrels_weight_analyze/0.5_0.4_0.1/au_332315.xlsx","au_332315")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HYPERLINK("./new_k5/query_cmdrels_weight_analyze/0.5_0.4_0.1/au_334081.xlsx","au_334081")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HYPERLINK("./new_k5/query_cmdrels_weight_analyze/0.5_0.4_0.1/au_34077.xlsx","au_34077")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0.33333333333333331</v>
      </c>
      <c r="F106">
        <v>0.33333333333333331</v>
      </c>
      <c r="G106">
        <v>0.59166666666666667</v>
      </c>
    </row>
    <row r="107" spans="1:7" x14ac:dyDescent="0.15">
      <c r="A107" t="str">
        <f>HYPERLINK("./new_k5/query_cmdrels_weight_analyze/0.5_0.4_0.1/au_341428.xlsx","au_341428")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HYPERLINK("./new_k5/query_cmdrels_weight_analyze/0.5_0.4_0.1/au_341584.xlsx","au_341584")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HYPERLINK("./new_k5/query_cmdrels_weight_analyze/0.5_0.4_0.1/au_346864.xlsx","au_346864")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0.14285714285714279</v>
      </c>
      <c r="F109">
        <v>0.23809523809523811</v>
      </c>
      <c r="G109">
        <v>0.2142857142857143</v>
      </c>
    </row>
    <row r="110" spans="1:7" x14ac:dyDescent="0.15">
      <c r="A110" t="str">
        <f>HYPERLINK("./new_k5/query_cmdrels_weight_analyze/0.5_0.4_0.1/au_351765.xlsx","au_351765")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0.5</v>
      </c>
    </row>
    <row r="111" spans="1:7" x14ac:dyDescent="0.15">
      <c r="A111" t="str">
        <f>HYPERLINK("./new_k5/query_cmdrels_weight_analyze/0.5_0.4_0.1/au_35922.xlsx","au_35922")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HYPERLINK("./new_k5/query_cmdrels_weight_analyze/0.5_0.4_0.1/au_359856.xlsx","au_359856")</f>
        <v>au_359856</v>
      </c>
      <c r="B112">
        <v>0.25</v>
      </c>
      <c r="C112">
        <v>0.25</v>
      </c>
      <c r="D112">
        <v>0.75</v>
      </c>
      <c r="E112">
        <v>0.5</v>
      </c>
      <c r="F112">
        <v>0.95</v>
      </c>
      <c r="G112">
        <v>0.5</v>
      </c>
    </row>
    <row r="113" spans="1:7" x14ac:dyDescent="0.15">
      <c r="A113" t="str">
        <f>HYPERLINK("./new_k5/query_cmdrels_weight_analyze/0.5_0.4_0.1/au_360423.xlsx","au_360423")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HYPERLINK("./new_k5/query_cmdrels_weight_analyze/0.5_0.4_0.1/au_36287.xlsx","au_36287")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HYPERLINK("./new_k5/query_cmdrels_weight_analyze/0.5_0.4_0.1/au_366742.xlsx","au_366742")</f>
        <v>au_366742</v>
      </c>
      <c r="B115">
        <v>0</v>
      </c>
      <c r="C115">
        <v>0</v>
      </c>
      <c r="D115">
        <v>0</v>
      </c>
      <c r="E115">
        <v>0.125</v>
      </c>
      <c r="F115">
        <v>0</v>
      </c>
      <c r="G115">
        <v>0.25</v>
      </c>
    </row>
    <row r="116" spans="1:7" x14ac:dyDescent="0.15">
      <c r="A116" t="str">
        <f>HYPERLINK("./new_k5/query_cmdrels_weight_analyze/0.5_0.4_0.1/au_377937.xlsx","au_377937")</f>
        <v>au_377937</v>
      </c>
      <c r="B116">
        <v>0.25</v>
      </c>
      <c r="C116">
        <v>0.25</v>
      </c>
      <c r="D116">
        <v>0.5</v>
      </c>
      <c r="E116">
        <v>0.75</v>
      </c>
      <c r="F116">
        <v>0.5</v>
      </c>
      <c r="G116">
        <v>0.75</v>
      </c>
    </row>
    <row r="117" spans="1:7" x14ac:dyDescent="0.15">
      <c r="A117" t="str">
        <f>HYPERLINK("./new_k5/query_cmdrels_weight_analyze/0.5_0.4_0.1/au_383997.xlsx","au_383997")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0.2857142857142857</v>
      </c>
    </row>
    <row r="118" spans="1:7" x14ac:dyDescent="0.15">
      <c r="A118" t="str">
        <f>HYPERLINK("./new_k5/query_cmdrels_weight_analyze/0.5_0.4_0.1/au_3883.xlsx","au_3883")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0.35</v>
      </c>
    </row>
    <row r="119" spans="1:7" x14ac:dyDescent="0.15">
      <c r="A119" t="str">
        <f>HYPERLINK("./new_k5/query_cmdrels_weight_analyze/0.5_0.4_0.1/au_396883.xlsx","au_396883")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HYPERLINK("./new_k5/query_cmdrels_weight_analyze/0.5_0.4_0.1/au_39760.xlsx","au_39760")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HYPERLINK("./new_k5/query_cmdrels_weight_analyze/0.5_0.4_0.1/au_398818.xlsx","au_398818")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HYPERLINK("./new_k5/query_cmdrels_weight_analyze/0.5_0.4_0.1/au_400807.xlsx","au_400807")</f>
        <v>au_400807</v>
      </c>
      <c r="B122">
        <v>0</v>
      </c>
      <c r="C122">
        <v>0.33333333333333331</v>
      </c>
      <c r="D122">
        <v>0.16666666666666671</v>
      </c>
      <c r="E122">
        <v>0.55555555555555547</v>
      </c>
      <c r="F122">
        <v>0.16666666666666671</v>
      </c>
      <c r="G122">
        <v>0.75555555555555554</v>
      </c>
    </row>
    <row r="123" spans="1:7" x14ac:dyDescent="0.15">
      <c r="A123" t="str">
        <f>HYPERLINK("./new_k5/query_cmdrels_weight_analyze/0.5_0.4_0.1/au_408611.xlsx","au_408611")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HYPERLINK("./new_k5/query_cmdrels_weight_analyze/0.5_0.4_0.1/au_414737.xlsx","au_414737")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HYPERLINK("./new_k5/query_cmdrels_weight_analyze/0.5_0.4_0.1/au_420722.xlsx","au_420722")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0.55555555555555547</v>
      </c>
      <c r="F125">
        <v>0.66666666666666663</v>
      </c>
      <c r="G125">
        <v>0.55555555555555547</v>
      </c>
    </row>
    <row r="126" spans="1:7" x14ac:dyDescent="0.15">
      <c r="A126" t="str">
        <f>HYPERLINK("./new_k5/query_cmdrels_weight_analyze/0.5_0.4_0.1/au_423942.xlsx","au_423942")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HYPERLINK("./new_k5/query_cmdrels_weight_analyze/0.5_0.4_0.1/au_430382.xlsx","au_430382")</f>
        <v>au_430382</v>
      </c>
      <c r="B127">
        <v>0</v>
      </c>
      <c r="C127">
        <v>0.25</v>
      </c>
      <c r="D127">
        <v>0.29166666666666657</v>
      </c>
      <c r="E127">
        <v>0.5</v>
      </c>
      <c r="F127">
        <v>0.29166666666666657</v>
      </c>
      <c r="G127">
        <v>0.5</v>
      </c>
    </row>
    <row r="128" spans="1:7" x14ac:dyDescent="0.15">
      <c r="A128" t="str">
        <f>HYPERLINK("./new_k5/query_cmdrels_weight_analyze/0.5_0.4_0.1/au_432836.xlsx","au_432836")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HYPERLINK("./new_k5/query_cmdrels_weight_analyze/0.5_0.4_0.1/au_440326.xlsx","au_440326")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HYPERLINK("./new_k5/query_cmdrels_weight_analyze/0.5_0.4_0.1/au_442914.xlsx","au_442914")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HYPERLINK("./new_k5/query_cmdrels_weight_analyze/0.5_0.4_0.1/au_443227.xlsx","au_443227")</f>
        <v>au_443227</v>
      </c>
      <c r="B131">
        <v>0.5</v>
      </c>
      <c r="C131">
        <v>0</v>
      </c>
      <c r="D131">
        <v>0.5</v>
      </c>
      <c r="E131">
        <v>0</v>
      </c>
      <c r="F131">
        <v>0.5</v>
      </c>
      <c r="G131">
        <v>0.1</v>
      </c>
    </row>
    <row r="132" spans="1:7" x14ac:dyDescent="0.15">
      <c r="A132" t="str">
        <f>HYPERLINK("./new_k5/query_cmdrels_weight_analyze/0.5_0.4_0.1/au_44534.xlsx","au_44534")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HYPERLINK("./new_k5/query_cmdrels_weight_analyze/0.5_0.4_0.1/au_451805.xlsx","au_451805")</f>
        <v>au_451805</v>
      </c>
      <c r="B133">
        <v>0.33333333333333331</v>
      </c>
      <c r="C133">
        <v>0</v>
      </c>
      <c r="D133">
        <v>0.33333333333333331</v>
      </c>
      <c r="E133">
        <v>0.1111111111111111</v>
      </c>
      <c r="F133">
        <v>0.33333333333333331</v>
      </c>
      <c r="G133">
        <v>0.1111111111111111</v>
      </c>
    </row>
    <row r="134" spans="1:7" x14ac:dyDescent="0.15">
      <c r="A134" t="str">
        <f>HYPERLINK("./new_k5/query_cmdrels_weight_analyze/0.5_0.4_0.1/au_464264.xlsx","au_464264")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0.16666666666666671</v>
      </c>
    </row>
    <row r="135" spans="1:7" x14ac:dyDescent="0.15">
      <c r="A135" t="str">
        <f>HYPERLINK("./new_k5/query_cmdrels_weight_analyze/0.5_0.4_0.1/au_468808.xlsx","au_468808")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HYPERLINK("./new_k5/query_cmdrels_weight_analyze/0.5_0.4_0.1/au_469143.xlsx","au_469143")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HYPERLINK("./new_k5/query_cmdrels_weight_analyze/0.5_0.4_0.1/au_470237.xlsx","au_470237")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HYPERLINK("./new_k5/query_cmdrels_weight_analyze/0.5_0.4_0.1/au_473037.xlsx","au_473037")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0.1</v>
      </c>
    </row>
    <row r="139" spans="1:7" x14ac:dyDescent="0.15">
      <c r="A139" t="str">
        <f>HYPERLINK("./new_k5/query_cmdrels_weight_analyze/0.5_0.4_0.1/au_48362.xlsx","au_48362")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HYPERLINK("./new_k5/query_cmdrels_weight_analyze/0.5_0.4_0.1/au_488435.xlsx","au_488435")</f>
        <v>au_488435</v>
      </c>
      <c r="B140">
        <v>0</v>
      </c>
      <c r="C140">
        <v>0</v>
      </c>
      <c r="D140">
        <v>0.125</v>
      </c>
      <c r="E140">
        <v>8.3333333333333329E-2</v>
      </c>
      <c r="F140">
        <v>0.25</v>
      </c>
      <c r="G140">
        <v>8.3333333333333329E-2</v>
      </c>
    </row>
    <row r="141" spans="1:7" x14ac:dyDescent="0.15">
      <c r="A141" t="str">
        <f>HYPERLINK("./new_k5/query_cmdrels_weight_analyze/0.5_0.4_0.1/au_493826.xlsx","au_493826")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0.23809523809523811</v>
      </c>
      <c r="F141">
        <v>0.14285714285714279</v>
      </c>
      <c r="G141">
        <v>0.23809523809523811</v>
      </c>
    </row>
    <row r="142" spans="1:7" x14ac:dyDescent="0.15">
      <c r="A142" t="str">
        <f>HYPERLINK("./new_k5/query_cmdrels_weight_analyze/0.5_0.4_0.1/au_502110.xlsx","au_502110")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HYPERLINK("./new_k5/query_cmdrels_weight_analyze/0.5_0.4_0.1/au_50344.xlsx","au_50344")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HYPERLINK("./new_k5/query_cmdrels_weight_analyze/0.5_0.4_0.1/au_511467.xlsx","au_511467")</f>
        <v>au_511467</v>
      </c>
      <c r="B144">
        <v>0</v>
      </c>
      <c r="C144">
        <v>0.16666666666666671</v>
      </c>
      <c r="D144">
        <v>0.19444444444444439</v>
      </c>
      <c r="E144">
        <v>0.33333333333333331</v>
      </c>
      <c r="F144">
        <v>0.19444444444444439</v>
      </c>
      <c r="G144">
        <v>0.45833333333333331</v>
      </c>
    </row>
    <row r="145" spans="1:7" x14ac:dyDescent="0.15">
      <c r="A145" t="str">
        <f>HYPERLINK("./new_k5/query_cmdrels_weight_analyze/0.5_0.4_0.1/au_513046.xlsx","au_513046")</f>
        <v>au_513046</v>
      </c>
      <c r="B145">
        <v>0.25</v>
      </c>
      <c r="C145">
        <v>0</v>
      </c>
      <c r="D145">
        <v>0.5</v>
      </c>
      <c r="E145">
        <v>8.3333333333333329E-2</v>
      </c>
      <c r="F145">
        <v>0.5</v>
      </c>
      <c r="G145">
        <v>0.35833333333333328</v>
      </c>
    </row>
    <row r="146" spans="1:7" x14ac:dyDescent="0.15">
      <c r="A146" t="str">
        <f>HYPERLINK("./new_k5/query_cmdrels_weight_analyze/0.5_0.4_0.1/au_517354.xlsx","au_517354")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0.34523809523809518</v>
      </c>
    </row>
    <row r="147" spans="1:7" x14ac:dyDescent="0.15">
      <c r="A147" t="str">
        <f>HYPERLINK("./new_k5/query_cmdrels_weight_analyze/0.5_0.4_0.1/au_522431.xlsx","au_522431")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0.3833333333333333</v>
      </c>
    </row>
    <row r="148" spans="1:7" x14ac:dyDescent="0.15">
      <c r="A148" t="str">
        <f>HYPERLINK("./new_k5/query_cmdrels_weight_analyze/0.5_0.4_0.1/au_52773.xlsx","au_52773")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0.05</v>
      </c>
    </row>
    <row r="149" spans="1:7" x14ac:dyDescent="0.15">
      <c r="A149" t="str">
        <f>HYPERLINK("./new_k5/query_cmdrels_weight_analyze/0.5_0.4_0.1/au_528411.xlsx","au_528411")</f>
        <v>au_528411</v>
      </c>
      <c r="B149">
        <v>0</v>
      </c>
      <c r="C149">
        <v>0</v>
      </c>
      <c r="D149">
        <v>0</v>
      </c>
      <c r="E149">
        <v>0.16666666666666671</v>
      </c>
      <c r="F149">
        <v>0</v>
      </c>
      <c r="G149">
        <v>0.16666666666666671</v>
      </c>
    </row>
    <row r="150" spans="1:7" x14ac:dyDescent="0.15">
      <c r="A150" t="str">
        <f>HYPERLINK("./new_k5/query_cmdrels_weight_analyze/0.5_0.4_0.1/au_53263.xlsx","au_53263")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1</v>
      </c>
    </row>
    <row r="151" spans="1:7" x14ac:dyDescent="0.15">
      <c r="A151" t="str">
        <f>HYPERLINK("./new_k5/query_cmdrels_weight_analyze/0.5_0.4_0.1/au_53444.xlsx","au_53444")</f>
        <v>au_53444</v>
      </c>
      <c r="B151">
        <v>0.5</v>
      </c>
      <c r="C151">
        <v>0</v>
      </c>
      <c r="D151">
        <v>0.5</v>
      </c>
      <c r="E151">
        <v>0.16666666666666671</v>
      </c>
      <c r="F151">
        <v>0.5</v>
      </c>
      <c r="G151">
        <v>0.16666666666666671</v>
      </c>
    </row>
    <row r="152" spans="1:7" x14ac:dyDescent="0.15">
      <c r="A152" t="str">
        <f>HYPERLINK("./new_k5/query_cmdrels_weight_analyze/0.5_0.4_0.1/au_538208.xlsx","au_538208")</f>
        <v>au_538208</v>
      </c>
      <c r="B152">
        <v>0.125</v>
      </c>
      <c r="C152">
        <v>0.125</v>
      </c>
      <c r="D152">
        <v>0.375</v>
      </c>
      <c r="E152">
        <v>0.25</v>
      </c>
      <c r="F152">
        <v>0.5</v>
      </c>
      <c r="G152">
        <v>0.44374999999999998</v>
      </c>
    </row>
    <row r="153" spans="1:7" x14ac:dyDescent="0.15">
      <c r="A153" t="str">
        <f>HYPERLINK("./new_k5/query_cmdrels_weight_analyze/0.5_0.4_0.1/au_53822.xlsx","au_53822")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HYPERLINK("./new_k5/query_cmdrels_weight_analyze/0.5_0.4_0.1/au_539243.xlsx","au_539243")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</v>
      </c>
    </row>
    <row r="155" spans="1:7" x14ac:dyDescent="0.15">
      <c r="A155" t="str">
        <f>HYPERLINK("./new_k5/query_cmdrels_weight_analyze/0.5_0.4_0.1/au_558280.xlsx","au_558280")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HYPERLINK("./new_k5/query_cmdrels_weight_analyze/0.5_0.4_0.1/au_558669.xlsx","au_558669")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HYPERLINK("./new_k5/query_cmdrels_weight_analyze/0.5_0.4_0.1/au_55868.xlsx","au_55868")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HYPERLINK("./new_k5/query_cmdrels_weight_analyze/0.5_0.4_0.1/au_561.xlsx","au_561")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0.65</v>
      </c>
    </row>
    <row r="159" spans="1:7" x14ac:dyDescent="0.15">
      <c r="A159" t="str">
        <f>HYPERLINK("./new_k5/query_cmdrels_weight_analyze/0.5_0.4_0.1/au_564567.xlsx","au_564567")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HYPERLINK("./new_k5/query_cmdrels_weight_analyze/0.5_0.4_0.1/au_57994.xlsx","au_57994")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0.5714285714285714</v>
      </c>
    </row>
    <row r="161" spans="1:7" x14ac:dyDescent="0.15">
      <c r="A161" t="str">
        <f>HYPERLINK("./new_k5/query_cmdrels_weight_analyze/0.5_0.4_0.1/au_589210.xlsx","au_589210")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0.35</v>
      </c>
    </row>
    <row r="162" spans="1:7" x14ac:dyDescent="0.15">
      <c r="A162" t="str">
        <f>HYPERLINK("./new_k5/query_cmdrels_weight_analyze/0.5_0.4_0.1/au_5911.xlsx","au_5911")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HYPERLINK("./new_k5/query_cmdrels_weight_analyze/0.5_0.4_0.1/au_59356.xlsx","au_59356")</f>
        <v>au_59356</v>
      </c>
      <c r="B163">
        <v>0</v>
      </c>
      <c r="C163">
        <v>0</v>
      </c>
      <c r="D163">
        <v>0.16666666666666671</v>
      </c>
      <c r="E163">
        <v>0</v>
      </c>
      <c r="F163">
        <v>0.16666666666666671</v>
      </c>
      <c r="G163">
        <v>0</v>
      </c>
    </row>
    <row r="164" spans="1:7" x14ac:dyDescent="0.15">
      <c r="A164" t="str">
        <f>HYPERLINK("./new_k5/query_cmdrels_weight_analyze/0.5_0.4_0.1/au_609850.xlsx","au_609850")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HYPERLINK("./new_k5/query_cmdrels_weight_analyze/0.5_0.4_0.1/au_61408.xlsx","au_61408")</f>
        <v>au_61408</v>
      </c>
      <c r="B165">
        <v>0</v>
      </c>
      <c r="C165">
        <v>0.33333333333333331</v>
      </c>
      <c r="D165">
        <v>0.16666666666666671</v>
      </c>
      <c r="E165">
        <v>0.33333333333333331</v>
      </c>
      <c r="F165">
        <v>0.16666666666666671</v>
      </c>
      <c r="G165">
        <v>0.33333333333333331</v>
      </c>
    </row>
    <row r="166" spans="1:7" x14ac:dyDescent="0.15">
      <c r="A166" t="str">
        <f>HYPERLINK("./new_k5/query_cmdrels_weight_analyze/0.5_0.4_0.1/au_617850.xlsx","au_617850")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HYPERLINK("./new_k5/query_cmdrels_weight_analyze/0.5_0.4_0.1/au_62073.xlsx","au_62073")</f>
        <v>au_62073</v>
      </c>
      <c r="B167">
        <v>0</v>
      </c>
      <c r="C167">
        <v>0.2</v>
      </c>
      <c r="D167">
        <v>0.23333333333333331</v>
      </c>
      <c r="E167">
        <v>0.4</v>
      </c>
      <c r="F167">
        <v>0.23333333333333331</v>
      </c>
      <c r="G167">
        <v>0.71</v>
      </c>
    </row>
    <row r="168" spans="1:7" x14ac:dyDescent="0.15">
      <c r="A168" t="str">
        <f>HYPERLINK("./new_k5/query_cmdrels_weight_analyze/0.5_0.4_0.1/au_620930.xlsx","au_620930")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0.45333333333333331</v>
      </c>
    </row>
    <row r="169" spans="1:7" x14ac:dyDescent="0.15">
      <c r="A169" t="str">
        <f>HYPERLINK("./new_k5/query_cmdrels_weight_analyze/0.5_0.4_0.1/au_62492.xlsx","au_62492")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HYPERLINK("./new_k5/query_cmdrels_weight_analyze/0.5_0.4_0.1/au_626078.xlsx","au_626078")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HYPERLINK("./new_k5/query_cmdrels_weight_analyze/0.5_0.4_0.1/au_636944.xlsx","au_636944")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HYPERLINK("./new_k5/query_cmdrels_weight_analyze/0.5_0.4_0.1/au_648603.xlsx","au_648603")</f>
        <v>au_648603</v>
      </c>
      <c r="B172">
        <v>0.25</v>
      </c>
      <c r="C172">
        <v>0.25</v>
      </c>
      <c r="D172">
        <v>0.25</v>
      </c>
      <c r="E172">
        <v>0.41666666666666657</v>
      </c>
      <c r="F172">
        <v>0.25</v>
      </c>
      <c r="G172">
        <v>0.41666666666666657</v>
      </c>
    </row>
    <row r="173" spans="1:7" x14ac:dyDescent="0.15">
      <c r="A173" t="str">
        <f>HYPERLINK("./new_k5/query_cmdrels_weight_analyze/0.5_0.4_0.1/au_65331.xlsx","au_65331")</f>
        <v>au_65331</v>
      </c>
      <c r="B173">
        <v>0</v>
      </c>
      <c r="C173">
        <v>0.16666666666666671</v>
      </c>
      <c r="D173">
        <v>8.3333333333333329E-2</v>
      </c>
      <c r="E173">
        <v>0.27777777777777768</v>
      </c>
      <c r="F173">
        <v>0.16666666666666671</v>
      </c>
      <c r="G173">
        <v>0.27777777777777768</v>
      </c>
    </row>
    <row r="174" spans="1:7" x14ac:dyDescent="0.15">
      <c r="A174" t="str">
        <f>HYPERLINK("./new_k5/query_cmdrels_weight_analyze/0.5_0.4_0.1/au_66000.xlsx","au_66000")</f>
        <v>au_66000</v>
      </c>
      <c r="B174">
        <v>0</v>
      </c>
      <c r="C174">
        <v>0.2</v>
      </c>
      <c r="D174">
        <v>0</v>
      </c>
      <c r="E174">
        <v>0.33333333333333331</v>
      </c>
      <c r="F174">
        <v>0</v>
      </c>
      <c r="G174">
        <v>0.64333333333333331</v>
      </c>
    </row>
    <row r="175" spans="1:7" x14ac:dyDescent="0.15">
      <c r="A175" t="str">
        <f>HYPERLINK("./new_k5/query_cmdrels_weight_analyze/0.5_0.4_0.1/au_660846.xlsx","au_660846")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HYPERLINK("./new_k5/query_cmdrels_weight_analyze/0.5_0.4_0.1/au_662935.xlsx","au_662935")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0.34375</v>
      </c>
    </row>
    <row r="177" spans="1:7" x14ac:dyDescent="0.15">
      <c r="A177" t="str">
        <f>HYPERLINK("./new_k5/query_cmdrels_weight_analyze/0.5_0.4_0.1/au_67663.xlsx","au_67663")</f>
        <v>au_67663</v>
      </c>
      <c r="B177">
        <v>0</v>
      </c>
      <c r="C177">
        <v>0.25</v>
      </c>
      <c r="D177">
        <v>0.29166666666666657</v>
      </c>
      <c r="E177">
        <v>0.75</v>
      </c>
      <c r="F177">
        <v>0.29166666666666657</v>
      </c>
      <c r="G177">
        <v>0.75</v>
      </c>
    </row>
    <row r="178" spans="1:7" x14ac:dyDescent="0.15">
      <c r="A178" t="str">
        <f>HYPERLINK("./new_k5/query_cmdrels_weight_analyze/0.5_0.4_0.1/au_68028.xlsx","au_68028")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0.23809523809523811</v>
      </c>
      <c r="F178">
        <v>0.37142857142857139</v>
      </c>
      <c r="G178">
        <v>0.34523809523809518</v>
      </c>
    </row>
    <row r="179" spans="1:7" x14ac:dyDescent="0.15">
      <c r="A179" t="str">
        <f>HYPERLINK("./new_k5/query_cmdrels_weight_analyze/0.5_0.4_0.1/au_681312.xlsx","au_681312")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0.23809523809523811</v>
      </c>
      <c r="F179">
        <v>0.42857142857142849</v>
      </c>
      <c r="G179">
        <v>0.34523809523809518</v>
      </c>
    </row>
    <row r="180" spans="1:7" x14ac:dyDescent="0.15">
      <c r="A180" t="str">
        <f>HYPERLINK("./new_k5/query_cmdrels_weight_analyze/0.5_0.4_0.1/au_686239.xlsx","au_686239")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HYPERLINK("./new_k5/query_cmdrels_weight_analyze/0.5_0.4_0.1/au_68809.xlsx","au_68809")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0.28333333333333333</v>
      </c>
    </row>
    <row r="182" spans="1:7" x14ac:dyDescent="0.15">
      <c r="A182" t="str">
        <f>HYPERLINK("./new_k5/query_cmdrels_weight_analyze/0.5_0.4_0.1/au_69556.xlsx","au_69556")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HYPERLINK("./new_k5/query_cmdrels_weight_analyze/0.5_0.4_0.1/au_698993.xlsx","au_698993")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HYPERLINK("./new_k5/query_cmdrels_weight_analyze/0.5_0.4_0.1/au_707881.xlsx","au_707881")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HYPERLINK("./new_k5/query_cmdrels_weight_analyze/0.5_0.4_0.1/au_709594.xlsx","au_709594")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HYPERLINK("./new_k5/query_cmdrels_weight_analyze/0.5_0.4_0.1/au_71309.xlsx","au_71309")</f>
        <v>au_71309</v>
      </c>
      <c r="B186">
        <v>0.125</v>
      </c>
      <c r="C186">
        <v>0.125</v>
      </c>
      <c r="D186">
        <v>0.20833333333333329</v>
      </c>
      <c r="E186">
        <v>0.25</v>
      </c>
      <c r="F186">
        <v>0.20833333333333329</v>
      </c>
      <c r="G186">
        <v>0.34375</v>
      </c>
    </row>
    <row r="187" spans="1:7" x14ac:dyDescent="0.15">
      <c r="A187" t="str">
        <f>HYPERLINK("./new_k5/query_cmdrels_weight_analyze/0.5_0.4_0.1/au_7138.xlsx","au_7138")</f>
        <v>au_7138</v>
      </c>
      <c r="B187">
        <v>0.25</v>
      </c>
      <c r="C187">
        <v>0</v>
      </c>
      <c r="D187">
        <v>0.75</v>
      </c>
      <c r="E187">
        <v>0</v>
      </c>
      <c r="F187">
        <v>0.75</v>
      </c>
      <c r="G187">
        <v>6.25E-2</v>
      </c>
    </row>
    <row r="188" spans="1:7" x14ac:dyDescent="0.15">
      <c r="A188" t="str">
        <f>HYPERLINK("./new_k5/query_cmdrels_weight_analyze/0.5_0.4_0.1/au_72549.xlsx","au_72549")</f>
        <v>au_72549</v>
      </c>
      <c r="B188">
        <v>0</v>
      </c>
      <c r="C188">
        <v>0.25</v>
      </c>
      <c r="D188">
        <v>0</v>
      </c>
      <c r="E188">
        <v>0.25</v>
      </c>
      <c r="F188">
        <v>0</v>
      </c>
      <c r="G188">
        <v>0.25</v>
      </c>
    </row>
    <row r="189" spans="1:7" x14ac:dyDescent="0.15">
      <c r="A189" t="str">
        <f>HYPERLINK("./new_k5/query_cmdrels_weight_analyze/0.5_0.4_0.1/au_740805.xlsx","au_740805")</f>
        <v>au_740805</v>
      </c>
      <c r="B189">
        <v>0.25</v>
      </c>
      <c r="C189">
        <v>0</v>
      </c>
      <c r="D189">
        <v>0.41666666666666657</v>
      </c>
      <c r="E189">
        <v>8.3333333333333329E-2</v>
      </c>
      <c r="F189">
        <v>0.41666666666666657</v>
      </c>
      <c r="G189">
        <v>0.18333333333333329</v>
      </c>
    </row>
    <row r="190" spans="1:7" x14ac:dyDescent="0.15">
      <c r="A190" t="str">
        <f>HYPERLINK("./new_k5/query_cmdrels_weight_analyze/0.5_0.4_0.1/au_760796.xlsx","au_760796")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HYPERLINK("./new_k5/query_cmdrels_weight_analyze/0.5_0.4_0.1/au_762846.xlsx","au_762846")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0.45833333333333331</v>
      </c>
    </row>
    <row r="192" spans="1:7" x14ac:dyDescent="0.15">
      <c r="A192" t="str">
        <f>HYPERLINK("./new_k5/query_cmdrels_weight_analyze/0.5_0.4_0.1/au_767786.xlsx","au_767786")</f>
        <v>au_767786</v>
      </c>
      <c r="B192">
        <v>0.2</v>
      </c>
      <c r="C192">
        <v>0.2</v>
      </c>
      <c r="D192">
        <v>0.4</v>
      </c>
      <c r="E192">
        <v>0.4</v>
      </c>
      <c r="F192">
        <v>0.4</v>
      </c>
      <c r="G192">
        <v>0.71</v>
      </c>
    </row>
    <row r="193" spans="1:7" x14ac:dyDescent="0.15">
      <c r="A193" t="str">
        <f>HYPERLINK("./new_k5/query_cmdrels_weight_analyze/0.5_0.4_0.1/au_778906.xlsx","au_778906")</f>
        <v>au_778906</v>
      </c>
      <c r="B193">
        <v>0.2</v>
      </c>
      <c r="C193">
        <v>0.2</v>
      </c>
      <c r="D193">
        <v>0.33333333333333331</v>
      </c>
      <c r="E193">
        <v>0.6</v>
      </c>
      <c r="F193">
        <v>0.33333333333333331</v>
      </c>
      <c r="G193">
        <v>0.6</v>
      </c>
    </row>
    <row r="194" spans="1:7" x14ac:dyDescent="0.15">
      <c r="A194" t="str">
        <f>HYPERLINK("./new_k5/query_cmdrels_weight_analyze/0.5_0.4_0.1/au_818929.xlsx","au_818929")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0.42</v>
      </c>
    </row>
    <row r="195" spans="1:7" x14ac:dyDescent="0.15">
      <c r="A195" t="str">
        <f>HYPERLINK("./new_k5/query_cmdrels_weight_analyze/0.5_0.4_0.1/au_844876.xlsx","au_844876")</f>
        <v>au_844876</v>
      </c>
      <c r="B195">
        <v>0.5</v>
      </c>
      <c r="C195">
        <v>0.5</v>
      </c>
      <c r="D195">
        <v>0.5</v>
      </c>
      <c r="E195">
        <v>0.5</v>
      </c>
      <c r="F195">
        <v>0.5</v>
      </c>
      <c r="G195">
        <v>0.75</v>
      </c>
    </row>
    <row r="196" spans="1:7" x14ac:dyDescent="0.15">
      <c r="A196" t="str">
        <f>HYPERLINK("./new_k5/query_cmdrels_weight_analyze/0.5_0.4_0.1/au_85318.xlsx","au_85318")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0.4</v>
      </c>
    </row>
    <row r="197" spans="1:7" x14ac:dyDescent="0.15">
      <c r="A197" t="str">
        <f>HYPERLINK("./new_k5/query_cmdrels_weight_analyze/0.5_0.4_0.1/au_854332.xlsx","au_854332")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HYPERLINK("./new_k5/query_cmdrels_weight_analyze/0.5_0.4_0.1/au_854373.xlsx","au_854373")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HYPERLINK("./new_k5/query_cmdrels_weight_analyze/0.5_0.4_0.1/au_86843.xlsx","au_86843")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HYPERLINK("./new_k5/query_cmdrels_weight_analyze/0.5_0.4_0.1/au_88108.xlsx","au_88108")</f>
        <v>au_88108</v>
      </c>
      <c r="B200">
        <v>0</v>
      </c>
      <c r="C200">
        <v>0</v>
      </c>
      <c r="D200">
        <v>0.1</v>
      </c>
      <c r="E200">
        <v>0</v>
      </c>
      <c r="F200">
        <v>0.1</v>
      </c>
      <c r="G200">
        <v>0.05</v>
      </c>
    </row>
    <row r="201" spans="1:7" x14ac:dyDescent="0.15">
      <c r="A201" t="str">
        <f>HYPERLINK("./new_k5/query_cmdrels_weight_analyze/0.5_0.4_0.1/au_90214.xlsx","au_90214")</f>
        <v>au_90214</v>
      </c>
      <c r="B201">
        <v>0</v>
      </c>
      <c r="C201">
        <v>0</v>
      </c>
      <c r="D201">
        <v>0.16666666666666671</v>
      </c>
      <c r="E201">
        <v>0</v>
      </c>
      <c r="F201">
        <v>0.16666666666666671</v>
      </c>
      <c r="G201">
        <v>0.2166666666666667</v>
      </c>
    </row>
    <row r="202" spans="1:7" x14ac:dyDescent="0.15">
      <c r="A202" t="str">
        <f>HYPERLINK("./new_k5/query_cmdrels_weight_analyze/0.5_0.4_0.1/au_90339.xlsx","au_90339")</f>
        <v>au_90339</v>
      </c>
      <c r="B202">
        <v>0</v>
      </c>
      <c r="C202">
        <v>0.14285714285714279</v>
      </c>
      <c r="D202">
        <v>4.7619047619047623E-2</v>
      </c>
      <c r="E202">
        <v>0.23809523809523811</v>
      </c>
      <c r="F202">
        <v>0.2047619047619047</v>
      </c>
      <c r="G202">
        <v>0.45952380952380961</v>
      </c>
    </row>
    <row r="203" spans="1:7" x14ac:dyDescent="0.15">
      <c r="A203" t="str">
        <f>HYPERLINK("./new_k5/query_cmdrels_weight_analyze/0.5_0.4_0.1/au_91286.xlsx","au_91286")</f>
        <v>au_91286</v>
      </c>
      <c r="B203">
        <v>0.5</v>
      </c>
      <c r="C203">
        <v>0</v>
      </c>
      <c r="D203">
        <v>0.5</v>
      </c>
      <c r="E203">
        <v>0.16666666666666671</v>
      </c>
      <c r="F203">
        <v>0.5</v>
      </c>
      <c r="G203">
        <v>0.16666666666666671</v>
      </c>
    </row>
    <row r="204" spans="1:7" x14ac:dyDescent="0.15">
      <c r="A204" t="str">
        <f>HYPERLINK("./new_k5/query_cmdrels_weight_analyze/0.5_0.4_0.1/au_9135.xlsx","au_9135")</f>
        <v>au_9135</v>
      </c>
      <c r="B204">
        <v>0.1</v>
      </c>
      <c r="C204">
        <v>0</v>
      </c>
      <c r="D204">
        <v>0.16666666666666671</v>
      </c>
      <c r="E204">
        <v>0.1166666666666667</v>
      </c>
      <c r="F204">
        <v>0.24166666666666661</v>
      </c>
      <c r="G204">
        <v>0.19166666666666671</v>
      </c>
    </row>
    <row r="205" spans="1:7" x14ac:dyDescent="0.15">
      <c r="A205" t="str">
        <f>HYPERLINK("./new_k5/query_cmdrels_weight_analyze/0.5_0.4_0.1/au_935569.xlsx","au_935569")</f>
        <v>au_935569</v>
      </c>
      <c r="B205">
        <v>0.14285714285714279</v>
      </c>
      <c r="C205">
        <v>0</v>
      </c>
      <c r="D205">
        <v>0.42857142857142849</v>
      </c>
      <c r="E205">
        <v>0.16666666666666671</v>
      </c>
      <c r="F205">
        <v>0.54285714285714282</v>
      </c>
      <c r="G205">
        <v>0.16666666666666671</v>
      </c>
    </row>
    <row r="206" spans="1:7" x14ac:dyDescent="0.15">
      <c r="A206" t="str">
        <f>HYPERLINK("./new_k5/query_cmdrels_weight_analyze/0.5_0.4_0.1/au_97936.xlsx","au_97936")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HYPERLINK("./new_k5/query_cmdrels_weight_analyze/0.5_0.4_0.1/so_10235778.xlsx","so_10235778")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HYPERLINK("./new_k5/query_cmdrels_weight_analyze/0.5_0.4_0.1/so_1045910.xlsx","so_1045910")</f>
        <v>so_1045910</v>
      </c>
      <c r="B208">
        <v>0.25</v>
      </c>
      <c r="C208">
        <v>0</v>
      </c>
      <c r="D208">
        <v>0.25</v>
      </c>
      <c r="E208">
        <v>0.125</v>
      </c>
      <c r="F208">
        <v>0.25</v>
      </c>
      <c r="G208">
        <v>0.25</v>
      </c>
    </row>
    <row r="209" spans="1:7" x14ac:dyDescent="0.15">
      <c r="A209" t="str">
        <f>HYPERLINK("./new_k5/query_cmdrels_weight_analyze/0.5_0.4_0.1/so_10557360.xlsx","so_10557360")</f>
        <v>so_10557360</v>
      </c>
      <c r="B209">
        <v>0</v>
      </c>
      <c r="C209">
        <v>0</v>
      </c>
      <c r="D209">
        <v>0</v>
      </c>
      <c r="E209">
        <v>6.6666666666666666E-2</v>
      </c>
      <c r="F209">
        <v>0</v>
      </c>
      <c r="G209">
        <v>6.6666666666666666E-2</v>
      </c>
    </row>
    <row r="210" spans="1:7" x14ac:dyDescent="0.15">
      <c r="A210" t="str">
        <f>HYPERLINK("./new_k5/query_cmdrels_weight_analyze/0.5_0.4_0.1/so_1058047.xlsx","so_1058047")</f>
        <v>so_1058047</v>
      </c>
      <c r="B210">
        <v>0.25</v>
      </c>
      <c r="C210">
        <v>0.25</v>
      </c>
      <c r="D210">
        <v>0.25</v>
      </c>
      <c r="E210">
        <v>0.41666666666666657</v>
      </c>
      <c r="F210">
        <v>0.25</v>
      </c>
      <c r="G210">
        <v>0.41666666666666657</v>
      </c>
    </row>
    <row r="211" spans="1:7" x14ac:dyDescent="0.15">
      <c r="A211" t="str">
        <f>HYPERLINK("./new_k5/query_cmdrels_weight_analyze/0.5_0.4_0.1/so_10829402.xlsx","so_10829402")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HYPERLINK("./new_k5/query_cmdrels_weight_analyze/0.5_0.4_0.1/so_1088098.xlsx","so_1088098")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0.25</v>
      </c>
    </row>
    <row r="213" spans="1:7" x14ac:dyDescent="0.15">
      <c r="A213" t="str">
        <f>HYPERLINK("./new_k5/query_cmdrels_weight_analyze/0.5_0.4_0.1/so_10990949.xlsx","so_10990949")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0.5</v>
      </c>
    </row>
    <row r="214" spans="1:7" x14ac:dyDescent="0.15">
      <c r="A214" t="str">
        <f>HYPERLINK("./new_k5/query_cmdrels_weight_analyze/0.5_0.4_0.1/so_11211705.xlsx","so_11211705")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HYPERLINK("./new_k5/query_cmdrels_weight_analyze/0.5_0.4_0.1/so_112932.xlsx","so_112932")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HYPERLINK("./new_k5/query_cmdrels_weight_analyze/0.5_0.4_0.1/so_11392189.xlsx","so_11392189")</f>
        <v>so_11392189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0.16250000000000001</v>
      </c>
    </row>
    <row r="217" spans="1:7" x14ac:dyDescent="0.15">
      <c r="A217" t="str">
        <f>HYPERLINK("./new_k5/query_cmdrels_weight_analyze/0.5_0.4_0.1/so_1183183.xlsx","so_1183183")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</v>
      </c>
    </row>
    <row r="218" spans="1:7" x14ac:dyDescent="0.15">
      <c r="A218" t="str">
        <f>HYPERLINK("./new_k5/query_cmdrels_weight_analyze/0.5_0.4_0.1/so_1194882.xlsx","so_1194882")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HYPERLINK("./new_k5/query_cmdrels_weight_analyze/0.5_0.4_0.1/so_12120935.xlsx","so_12120935")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HYPERLINK("./new_k5/query_cmdrels_weight_analyze/0.5_0.4_0.1/so_12313384.xlsx","so_12313384")</f>
        <v>so_12313384</v>
      </c>
      <c r="B220">
        <v>0</v>
      </c>
      <c r="C220">
        <v>0.33333333333333331</v>
      </c>
      <c r="D220">
        <v>0.16666666666666671</v>
      </c>
      <c r="E220">
        <v>0.55555555555555547</v>
      </c>
      <c r="F220">
        <v>0.16666666666666671</v>
      </c>
      <c r="G220">
        <v>0.55555555555555547</v>
      </c>
    </row>
    <row r="221" spans="1:7" x14ac:dyDescent="0.15">
      <c r="A221" t="str">
        <f>HYPERLINK("./new_k5/query_cmdrels_weight_analyze/0.5_0.4_0.1/so_12392598.xlsx","so_12392598")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HYPERLINK("./new_k5/query_cmdrels_weight_analyze/0.5_0.4_0.1/so_1241801.xlsx","so_1241801")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HYPERLINK("./new_k5/query_cmdrels_weight_analyze/0.5_0.4_0.1/so_12522269.xlsx","so_12522269")</f>
        <v>so_12522269</v>
      </c>
      <c r="B223">
        <v>0.2</v>
      </c>
      <c r="C223">
        <v>0.2</v>
      </c>
      <c r="D223">
        <v>0.2</v>
      </c>
      <c r="E223">
        <v>0.2</v>
      </c>
      <c r="F223">
        <v>0.28000000000000003</v>
      </c>
      <c r="G223">
        <v>0.2</v>
      </c>
    </row>
    <row r="224" spans="1:7" x14ac:dyDescent="0.15">
      <c r="A224" t="str">
        <f>HYPERLINK("./new_k5/query_cmdrels_weight_analyze/0.5_0.4_0.1/so_1293907.xlsx","so_1293907")</f>
        <v>so_1293907</v>
      </c>
      <c r="B224">
        <v>0</v>
      </c>
      <c r="C224">
        <v>0.33333333333333331</v>
      </c>
      <c r="D224">
        <v>0</v>
      </c>
      <c r="E224">
        <v>0.66666666666666663</v>
      </c>
      <c r="F224">
        <v>8.3333333333333329E-2</v>
      </c>
      <c r="G224">
        <v>0.91666666666666663</v>
      </c>
    </row>
    <row r="225" spans="1:7" x14ac:dyDescent="0.15">
      <c r="A225" t="str">
        <f>HYPERLINK("./new_k5/query_cmdrels_weight_analyze/0.5_0.4_0.1/so_13428910.xlsx","so_13428910")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HYPERLINK("./new_k5/query_cmdrels_weight_analyze/0.5_0.4_0.1/so_135688.xlsx","so_135688")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HYPERLINK("./new_k5/query_cmdrels_weight_analyze/0.5_0.4_0.1/so_13778273.xlsx","so_13778273")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HYPERLINK("./new_k5/query_cmdrels_weight_analyze/0.5_0.4_0.1/so_1405611.xlsx","so_1405611")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0.16666666666666671</v>
      </c>
      <c r="F228">
        <v>0.33333333333333331</v>
      </c>
      <c r="G228">
        <v>0.16666666666666671</v>
      </c>
    </row>
    <row r="229" spans="1:7" x14ac:dyDescent="0.15">
      <c r="A229" t="str">
        <f>HYPERLINK("./new_k5/query_cmdrels_weight_analyze/0.5_0.4_0.1/so_14300794.xlsx","so_14300794")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HYPERLINK("./new_k5/query_cmdrels_weight_analyze/0.5_0.4_0.1/so_143791.xlsx","so_143791")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HYPERLINK("./new_k5/query_cmdrels_weight_analyze/0.5_0.4_0.1/so_14750650.xlsx","so_14750650")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6.25E-2</v>
      </c>
    </row>
    <row r="232" spans="1:7" x14ac:dyDescent="0.15">
      <c r="A232" t="str">
        <f>HYPERLINK("./new_k5/query_cmdrels_weight_analyze/0.5_0.4_0.1/so_14978411.xlsx","so_14978411")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HYPERLINK("./new_k5/query_cmdrels_weight_analyze/0.5_0.4_0.1/so_15236308.xlsx","so_15236308")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HYPERLINK("./new_k5/query_cmdrels_weight_analyze/0.5_0.4_0.1/so_15286947.xlsx","so_15286947")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HYPERLINK("./new_k5/query_cmdrels_weight_analyze/0.5_0.4_0.1/so_15402770.xlsx","so_15402770")</f>
        <v>so_15402770</v>
      </c>
      <c r="B235">
        <v>0</v>
      </c>
      <c r="C235">
        <v>0.16666666666666671</v>
      </c>
      <c r="D235">
        <v>0.19444444444444439</v>
      </c>
      <c r="E235">
        <v>0.5</v>
      </c>
      <c r="F235">
        <v>0.19444444444444439</v>
      </c>
      <c r="G235">
        <v>0.66666666666666663</v>
      </c>
    </row>
    <row r="236" spans="1:7" x14ac:dyDescent="0.15">
      <c r="A236" t="str">
        <f>HYPERLINK("./new_k5/query_cmdrels_weight_analyze/0.5_0.4_0.1/so_1570262.xlsx","so_1570262")</f>
        <v>so_1570262</v>
      </c>
      <c r="B236">
        <v>0</v>
      </c>
      <c r="C236">
        <v>0</v>
      </c>
      <c r="D236">
        <v>0</v>
      </c>
      <c r="E236">
        <v>6.6666666666666666E-2</v>
      </c>
      <c r="F236">
        <v>0</v>
      </c>
      <c r="G236">
        <v>0.16666666666666671</v>
      </c>
    </row>
    <row r="237" spans="1:7" x14ac:dyDescent="0.15">
      <c r="A237" t="str">
        <f>HYPERLINK("./new_k5/query_cmdrels_weight_analyze/0.5_0.4_0.1/so_1583219.xlsx","so_1583219")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HYPERLINK("./new_k5/query_cmdrels_weight_analyze/0.5_0.4_0.1/so_15872543.xlsx","so_15872543")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HYPERLINK("./new_k5/query_cmdrels_weight_analyze/0.5_0.4_0.1/so_16038087.xlsx","so_16038087")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0.5714285714285714</v>
      </c>
    </row>
    <row r="240" spans="1:7" x14ac:dyDescent="0.15">
      <c r="A240" t="str">
        <f>HYPERLINK("./new_k5/query_cmdrels_weight_analyze/0.5_0.4_0.1/so_16212656.xlsx","so_16212656")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HYPERLINK("./new_k5/query_cmdrels_weight_analyze/0.5_0.4_0.1/so_16575419.xlsx","so_16575419")</f>
        <v>so_16575419</v>
      </c>
      <c r="B241">
        <v>0.25</v>
      </c>
      <c r="C241">
        <v>0.25</v>
      </c>
      <c r="D241">
        <v>0.25</v>
      </c>
      <c r="E241">
        <v>0.5</v>
      </c>
      <c r="F241">
        <v>0.25</v>
      </c>
      <c r="G241">
        <v>0.6875</v>
      </c>
    </row>
    <row r="242" spans="1:7" x14ac:dyDescent="0.15">
      <c r="A242" t="str">
        <f>HYPERLINK("./new_k5/query_cmdrels_weight_analyze/0.5_0.4_0.1/so_17582768.xlsx","so_17582768")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8.3333333333333329E-2</v>
      </c>
    </row>
    <row r="243" spans="1:7" x14ac:dyDescent="0.15">
      <c r="A243" t="str">
        <f>HYPERLINK("./new_k5/query_cmdrels_weight_analyze/0.5_0.4_0.1/so_17607612.xlsx","so_17607612")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HYPERLINK("./new_k5/query_cmdrels_weight_analyze/0.5_0.4_0.1/so_17829785.xlsx","so_17829785")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HYPERLINK("./new_k5/query_cmdrels_weight_analyze/0.5_0.4_0.1/so_1839841.xlsx","so_1839841")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HYPERLINK("./new_k5/query_cmdrels_weight_analyze/0.5_0.4_0.1/so_18468716.xlsx","so_18468716")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0.46666666666666662</v>
      </c>
    </row>
    <row r="247" spans="1:7" x14ac:dyDescent="0.15">
      <c r="A247" t="str">
        <f>HYPERLINK("./new_k5/query_cmdrels_weight_analyze/0.5_0.4_0.1/so_19196105.xlsx","so_19196105")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HYPERLINK("./new_k5/query_cmdrels_weight_analyze/0.5_0.4_0.1/so_19482123.xlsx","so_19482123")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HYPERLINK("./new_k5/query_cmdrels_weight_analyze/0.5_0.4_0.1/so_1975849.xlsx","so_1975849")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HYPERLINK("./new_k5/query_cmdrels_weight_analyze/0.5_0.4_0.1/so_212528.xlsx","so_212528")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0.43333333333333329</v>
      </c>
    </row>
    <row r="251" spans="1:7" x14ac:dyDescent="0.15">
      <c r="A251" t="str">
        <f>HYPERLINK("./new_k5/query_cmdrels_weight_analyze/0.5_0.4_0.1/so_21620406.xlsx","so_21620406")</f>
        <v>so_21620406</v>
      </c>
      <c r="B251">
        <v>0</v>
      </c>
      <c r="C251">
        <v>0</v>
      </c>
      <c r="D251">
        <v>0.1111111111111111</v>
      </c>
      <c r="E251">
        <v>0</v>
      </c>
      <c r="F251">
        <v>0.1111111111111111</v>
      </c>
      <c r="G251">
        <v>8.3333333333333329E-2</v>
      </c>
    </row>
    <row r="252" spans="1:7" x14ac:dyDescent="0.15">
      <c r="A252" t="str">
        <f>HYPERLINK("./new_k5/query_cmdrels_weight_analyze/0.5_0.4_0.1/so_23509348.xlsx","so_23509348")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HYPERLINK("./new_k5/query_cmdrels_weight_analyze/0.5_0.4_0.1/so_24058544.xlsx","so_24058544")</f>
        <v>so_24058544</v>
      </c>
      <c r="B253">
        <v>0.2</v>
      </c>
      <c r="C253">
        <v>0.2</v>
      </c>
      <c r="D253">
        <v>0.2</v>
      </c>
      <c r="E253">
        <v>0.33333333333333331</v>
      </c>
      <c r="F253">
        <v>0.2</v>
      </c>
      <c r="G253">
        <v>0.33333333333333331</v>
      </c>
    </row>
    <row r="254" spans="1:7" x14ac:dyDescent="0.15">
      <c r="A254" t="str">
        <f>HYPERLINK("./new_k5/query_cmdrels_weight_analyze/0.5_0.4_0.1/so_24283097.xlsx","so_24283097")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HYPERLINK("./new_k5/query_cmdrels_weight_analyze/0.5_0.4_0.1/so_26256279.xlsx","so_26256279")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HYPERLINK("./new_k5/query_cmdrels_weight_analyze/0.5_0.4_0.1/so_26331651.xlsx","so_26331651")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HYPERLINK("./new_k5/query_cmdrels_weight_analyze/0.5_0.4_0.1/so_26988262.xlsx","so_26988262")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HYPERLINK("./new_k5/query_cmdrels_weight_analyze/0.5_0.4_0.1/so_27238411.xlsx","so_27238411")</f>
        <v>so_27238411</v>
      </c>
      <c r="B258">
        <v>0.2</v>
      </c>
      <c r="C258">
        <v>0.2</v>
      </c>
      <c r="D258">
        <v>0.6</v>
      </c>
      <c r="E258">
        <v>0.6</v>
      </c>
      <c r="F258">
        <v>0.6</v>
      </c>
      <c r="G258">
        <v>0.6</v>
      </c>
    </row>
    <row r="259" spans="1:7" x14ac:dyDescent="0.15">
      <c r="A259" t="str">
        <f>HYPERLINK("./new_k5/query_cmdrels_weight_analyze/0.5_0.4_0.1/so_27943059.xlsx","so_27943059")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0.33333333333333331</v>
      </c>
      <c r="F259">
        <v>0.16666666666666671</v>
      </c>
      <c r="G259">
        <v>0.5</v>
      </c>
    </row>
    <row r="260" spans="1:7" x14ac:dyDescent="0.15">
      <c r="A260" t="str">
        <f>HYPERLINK("./new_k5/query_cmdrels_weight_analyze/0.5_0.4_0.1/so_28869004.xlsx","so_28869004")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HYPERLINK("./new_k5/query_cmdrels_weight_analyze/0.5_0.4_0.1/so_2973624.xlsx","so_2973624")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0.55555555555555547</v>
      </c>
      <c r="F261">
        <v>0.66666666666666663</v>
      </c>
      <c r="G261">
        <v>0.55555555555555547</v>
      </c>
    </row>
    <row r="262" spans="1:7" x14ac:dyDescent="0.15">
      <c r="A262" t="str">
        <f>HYPERLINK("./new_k5/query_cmdrels_weight_analyze/0.5_0.4_0.1/so_30177455.xlsx","so_30177455")</f>
        <v>so_30177455</v>
      </c>
      <c r="B262">
        <v>0</v>
      </c>
      <c r="C262">
        <v>0</v>
      </c>
      <c r="D262">
        <v>0.16666666666666671</v>
      </c>
      <c r="E262">
        <v>0</v>
      </c>
      <c r="F262">
        <v>0.16666666666666671</v>
      </c>
      <c r="G262">
        <v>8.3333333333333329E-2</v>
      </c>
    </row>
    <row r="263" spans="1:7" x14ac:dyDescent="0.15">
      <c r="A263" t="str">
        <f>HYPERLINK("./new_k5/query_cmdrels_weight_analyze/0.5_0.4_0.1/so_30251889.xlsx","so_30251889")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0.6791666666666667</v>
      </c>
    </row>
    <row r="264" spans="1:7" x14ac:dyDescent="0.15">
      <c r="A264" t="str">
        <f>HYPERLINK("./new_k5/query_cmdrels_weight_analyze/0.5_0.4_0.1/so_305035.xlsx","so_305035")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HYPERLINK("./new_k5/query_cmdrels_weight_analyze/0.5_0.4_0.1/so_36249744.xlsx","so_36249744")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HYPERLINK("./new_k5/query_cmdrels_weight_analyze/0.5_0.4_0.1/so_3643848.xlsx","so_3643848")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HYPERLINK("./new_k5/query_cmdrels_weight_analyze/0.5_0.4_0.1/so_3667329.xlsx","so_3667329")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HYPERLINK("./new_k5/query_cmdrels_weight_analyze/0.5_0.4_0.1/so_369758.xlsx","so_369758")</f>
        <v>so_369758</v>
      </c>
      <c r="B268">
        <v>0.2</v>
      </c>
      <c r="C268">
        <v>0.2</v>
      </c>
      <c r="D268">
        <v>0.4</v>
      </c>
      <c r="E268">
        <v>0.33333333333333331</v>
      </c>
      <c r="F268">
        <v>0.4</v>
      </c>
      <c r="G268">
        <v>0.48333333333333328</v>
      </c>
    </row>
    <row r="269" spans="1:7" x14ac:dyDescent="0.15">
      <c r="A269" t="str">
        <f>HYPERLINK("./new_k5/query_cmdrels_weight_analyze/0.5_0.4_0.1/so_3756323.xlsx","so_3756323")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0.75</v>
      </c>
    </row>
    <row r="270" spans="1:7" x14ac:dyDescent="0.15">
      <c r="A270" t="str">
        <f>HYPERLINK("./new_k5/query_cmdrels_weight_analyze/0.5_0.4_0.1/so_3767267.xlsx","so_3767267")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HYPERLINK("./new_k5/query_cmdrels_weight_analyze/0.5_0.4_0.1/so_3833578.xlsx","so_3833578")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HYPERLINK("./new_k5/query_cmdrels_weight_analyze/0.5_0.4_0.1/so_3891076.xlsx","so_3891076")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0.52500000000000002</v>
      </c>
    </row>
    <row r="273" spans="1:7" x14ac:dyDescent="0.15">
      <c r="A273" t="str">
        <f>HYPERLINK("./new_k5/query_cmdrels_weight_analyze/0.5_0.4_0.1/so_3963085.xlsx","so_3963085")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HYPERLINK("./new_k5/query_cmdrels_weight_analyze/0.5_0.4_0.1/so_4325216.xlsx","so_4325216")</f>
        <v>so_4325216</v>
      </c>
      <c r="B274">
        <v>0.5</v>
      </c>
      <c r="C274">
        <v>0.5</v>
      </c>
      <c r="D274">
        <v>0.5</v>
      </c>
      <c r="E274">
        <v>0.5</v>
      </c>
      <c r="F274">
        <v>0.5</v>
      </c>
      <c r="G274">
        <v>0.75</v>
      </c>
    </row>
    <row r="275" spans="1:7" x14ac:dyDescent="0.15">
      <c r="A275" t="str">
        <f>HYPERLINK("./new_k5/query_cmdrels_weight_analyze/0.5_0.4_0.1/so_448005.xlsx","so_448005")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HYPERLINK("./new_k5/query_cmdrels_weight_analyze/0.5_0.4_0.1/so_4921879.xlsx","so_4921879")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HYPERLINK("./new_k5/query_cmdrels_weight_analyze/0.5_0.4_0.1/so_4922943.xlsx","so_4922943")</f>
        <v>so_4922943</v>
      </c>
      <c r="B277">
        <v>0.2</v>
      </c>
      <c r="C277">
        <v>0.2</v>
      </c>
      <c r="D277">
        <v>0.33333333333333331</v>
      </c>
      <c r="E277">
        <v>0.2</v>
      </c>
      <c r="F277">
        <v>0.33333333333333331</v>
      </c>
      <c r="G277">
        <v>0.3</v>
      </c>
    </row>
    <row r="278" spans="1:7" x14ac:dyDescent="0.15">
      <c r="A278" t="str">
        <f>HYPERLINK("./new_k5/query_cmdrels_weight_analyze/0.5_0.4_0.1/so_5119946.xlsx","so_5119946")</f>
        <v>so_5119946</v>
      </c>
      <c r="B278">
        <v>0.5</v>
      </c>
      <c r="C278">
        <v>0</v>
      </c>
      <c r="D278">
        <v>0.5</v>
      </c>
      <c r="E278">
        <v>0</v>
      </c>
      <c r="F278">
        <v>0.5</v>
      </c>
      <c r="G278">
        <v>0</v>
      </c>
    </row>
    <row r="279" spans="1:7" x14ac:dyDescent="0.15">
      <c r="A279" t="str">
        <f>HYPERLINK("./new_k5/query_cmdrels_weight_analyze/0.5_0.4_0.1/so_5164985.xlsx","so_5164985")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HYPERLINK("./new_k5/query_cmdrels_weight_analyze/0.5_0.4_0.1/so_5306153.xlsx","so_5306153")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HYPERLINK("./new_k5/query_cmdrels_weight_analyze/0.5_0.4_0.1/so_5566310.xlsx","so_5566310")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HYPERLINK("./new_k5/query_cmdrels_weight_analyze/0.5_0.4_0.1/so_5927369.xlsx","so_5927369")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HYPERLINK("./new_k5/query_cmdrels_weight_analyze/0.5_0.4_0.1/so_5947742.xlsx","so_5947742")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HYPERLINK("./new_k5/query_cmdrels_weight_analyze/0.5_0.4_0.1/so_614795.xlsx","so_614795")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HYPERLINK("./new_k5/query_cmdrels_weight_analyze/0.5_0.4_0.1/so_6207573.xlsx","so_6207573")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0.2857142857142857</v>
      </c>
      <c r="F285">
        <v>0.37142857142857139</v>
      </c>
      <c r="G285">
        <v>0.39285714285714279</v>
      </c>
    </row>
    <row r="286" spans="1:7" x14ac:dyDescent="0.15">
      <c r="A286" t="str">
        <f>HYPERLINK("./new_k5/query_cmdrels_weight_analyze/0.5_0.4_0.1/so_6283167.xlsx","so_6283167")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HYPERLINK("./new_k5/query_cmdrels_weight_analyze/0.5_0.4_0.1/so_6329505.xlsx","so_6329505")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HYPERLINK("./new_k5/query_cmdrels_weight_analyze/0.5_0.4_0.1/so_6423532.xlsx","so_6423532")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HYPERLINK("./new_k5/query_cmdrels_weight_analyze/0.5_0.4_0.1/so_669438.xlsx","so_669438")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0.33333333333333331</v>
      </c>
    </row>
    <row r="290" spans="1:7" x14ac:dyDescent="0.15">
      <c r="A290" t="str">
        <f>HYPERLINK("./new_k5/query_cmdrels_weight_analyze/0.5_0.4_0.1/so_7052875.xlsx","so_7052875")</f>
        <v>so_7052875</v>
      </c>
      <c r="B290">
        <v>0.2</v>
      </c>
      <c r="C290">
        <v>0</v>
      </c>
      <c r="D290">
        <v>0.2</v>
      </c>
      <c r="E290">
        <v>0.1</v>
      </c>
      <c r="F290">
        <v>0.2</v>
      </c>
      <c r="G290">
        <v>0.18</v>
      </c>
    </row>
    <row r="291" spans="1:7" x14ac:dyDescent="0.15">
      <c r="A291" t="str">
        <f>HYPERLINK("./new_k5/query_cmdrels_weight_analyze/0.5_0.4_0.1/so_7221757.xlsx","so_7221757")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HYPERLINK("./new_k5/query_cmdrels_weight_analyze/0.5_0.4_0.1/so_750604.xlsx","so_750604")</f>
        <v>so_750604</v>
      </c>
      <c r="B292">
        <v>0</v>
      </c>
      <c r="C292">
        <v>0</v>
      </c>
      <c r="D292">
        <v>0.1111111111111111</v>
      </c>
      <c r="E292">
        <v>0.1111111111111111</v>
      </c>
      <c r="F292">
        <v>0.1111111111111111</v>
      </c>
      <c r="G292">
        <v>0.27777777777777768</v>
      </c>
    </row>
    <row r="293" spans="1:7" x14ac:dyDescent="0.15">
      <c r="A293" t="str">
        <f>HYPERLINK("./new_k5/query_cmdrels_weight_analyze/0.5_0.4_0.1/so_7575267.xlsx","so_7575267")</f>
        <v>so_7575267</v>
      </c>
      <c r="B293">
        <v>0</v>
      </c>
      <c r="C293">
        <v>0.25</v>
      </c>
      <c r="D293">
        <v>0</v>
      </c>
      <c r="E293">
        <v>0.75</v>
      </c>
      <c r="F293">
        <v>0</v>
      </c>
      <c r="G293">
        <v>0.75</v>
      </c>
    </row>
    <row r="294" spans="1:7" x14ac:dyDescent="0.15">
      <c r="A294" t="str">
        <f>HYPERLINK("./new_k5/query_cmdrels_weight_analyze/0.5_0.4_0.1/so_7698488.xlsx","so_7698488")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0.16250000000000001</v>
      </c>
    </row>
    <row r="295" spans="1:7" x14ac:dyDescent="0.15">
      <c r="A295" t="str">
        <f>HYPERLINK("./new_k5/query_cmdrels_weight_analyze/0.5_0.4_0.1/so_801095.xlsx","so_801095")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0.33333333333333331</v>
      </c>
      <c r="F295">
        <v>0.33333333333333331</v>
      </c>
      <c r="G295">
        <v>0.5</v>
      </c>
    </row>
    <row r="296" spans="1:7" x14ac:dyDescent="0.15">
      <c r="A296" t="str">
        <f>HYPERLINK("./new_k5/query_cmdrels_weight_analyze/0.5_0.4_0.1/so_8249705.xlsx","so_8249705")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HYPERLINK("./new_k5/query_cmdrels_weight_analyze/0.5_0.4_0.1/so_8423541.xlsx","so_8423541")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HYPERLINK("./new_k5/query_cmdrels_weight_analyze/0.5_0.4_0.1/so_8654051.xlsx","so_8654051")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HYPERLINK("./new_k5/query_cmdrels_weight_analyze/0.5_0.4_0.1/so_890262.xlsx","so_890262")</f>
        <v>so_890262</v>
      </c>
      <c r="B299">
        <v>0</v>
      </c>
      <c r="C299">
        <v>0</v>
      </c>
      <c r="D299">
        <v>0</v>
      </c>
      <c r="E299">
        <v>0.1111111111111111</v>
      </c>
      <c r="F299">
        <v>0</v>
      </c>
      <c r="G299">
        <v>0.27777777777777768</v>
      </c>
    </row>
    <row r="300" spans="1:7" x14ac:dyDescent="0.15">
      <c r="A300" t="str">
        <f>HYPERLINK("./new_k5/query_cmdrels_weight_analyze/0.5_0.4_0.1/so_893585.xlsx","so_893585")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HYPERLINK("./new_k5/query_cmdrels_weight_analyze/0.5_0.4_0.1/so_9223460.xlsx","so_9223460")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HYPERLINK("./new_k5/query_cmdrels_weight_analyze/0.5_0.4_0.1/so_9245638.xlsx","so_9245638")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HYPERLINK("./new_k5/query_cmdrels_weight_analyze/0.5_0.4_0.1/so_9304953.xlsx","so_9304953")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0.6</v>
      </c>
    </row>
    <row r="304" spans="1:7" x14ac:dyDescent="0.15">
      <c r="A304" t="str">
        <f>HYPERLINK("./new_k5/query_cmdrels_weight_analyze/0.5_0.4_0.1/so_9361816.xlsx","so_9361816")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HYPERLINK("./new_k5/query_cmdrels_weight_analyze/0.5_0.4_0.1/su_116617.xlsx","su_116617")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HYPERLINK("./new_k5/query_cmdrels_weight_analyze/0.5_0.4_0.1/su_120045.xlsx","su_120045")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HYPERLINK("./new_k5/query_cmdrels_weight_analyze/0.5_0.4_0.1/su_127863.xlsx","su_127863")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HYPERLINK("./new_k5/query_cmdrels_weight_analyze/0.5_0.4_0.1/su_135498.xlsx","su_135498")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HYPERLINK("./new_k5/query_cmdrels_weight_analyze/0.5_0.4_0.1/su_147027.xlsx","su_147027")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HYPERLINK("./new_k5/query_cmdrels_weight_analyze/0.5_0.4_0.1/su_151911.xlsx","su_151911")</f>
        <v>su_151911</v>
      </c>
      <c r="B310">
        <v>0</v>
      </c>
      <c r="C310">
        <v>0</v>
      </c>
      <c r="D310">
        <v>0</v>
      </c>
      <c r="E310">
        <v>8.3333333333333329E-2</v>
      </c>
      <c r="F310">
        <v>0</v>
      </c>
      <c r="G310">
        <v>8.3333333333333329E-2</v>
      </c>
    </row>
    <row r="311" spans="1:7" x14ac:dyDescent="0.15">
      <c r="A311" t="str">
        <f>HYPERLINK("./new_k5/query_cmdrels_weight_analyze/0.5_0.4_0.1/su_153415.xlsx","su_153415")</f>
        <v>su_153415</v>
      </c>
      <c r="B311">
        <v>0.5</v>
      </c>
      <c r="C311">
        <v>0</v>
      </c>
      <c r="D311">
        <v>0.5</v>
      </c>
      <c r="E311">
        <v>0.25</v>
      </c>
      <c r="F311">
        <v>0.5</v>
      </c>
      <c r="G311">
        <v>0.25</v>
      </c>
    </row>
    <row r="312" spans="1:7" x14ac:dyDescent="0.15">
      <c r="A312" t="str">
        <f>HYPERLINK("./new_k5/query_cmdrels_weight_analyze/0.5_0.4_0.1/su_156189.xlsx","su_156189")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0.27777777777777768</v>
      </c>
    </row>
    <row r="313" spans="1:7" x14ac:dyDescent="0.15">
      <c r="A313" t="str">
        <f>HYPERLINK("./new_k5/query_cmdrels_weight_analyze/0.5_0.4_0.1/su_161531.xlsx","su_161531")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HYPERLINK("./new_k5/query_cmdrels_weight_analyze/0.5_0.4_0.1/su_204209.xlsx","su_204209")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HYPERLINK("./new_k5/query_cmdrels_weight_analyze/0.5_0.4_0.1/su_214390.xlsx","su_214390")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HYPERLINK("./new_k5/query_cmdrels_weight_analyze/0.5_0.4_0.1/su_215483.xlsx","su_215483")</f>
        <v>su_215483</v>
      </c>
      <c r="B316">
        <v>0.5</v>
      </c>
      <c r="C316">
        <v>0.5</v>
      </c>
      <c r="D316">
        <v>1</v>
      </c>
      <c r="E316">
        <v>0.5</v>
      </c>
      <c r="F316">
        <v>1</v>
      </c>
      <c r="G316">
        <v>0.5</v>
      </c>
    </row>
    <row r="317" spans="1:7" x14ac:dyDescent="0.15">
      <c r="A317" t="str">
        <f>HYPERLINK("./new_k5/query_cmdrels_weight_analyze/0.5_0.4_0.1/su_215504.xlsx","su_215504")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0.47916666666666657</v>
      </c>
    </row>
    <row r="318" spans="1:7" x14ac:dyDescent="0.15">
      <c r="A318" t="str">
        <f>HYPERLINK("./new_k5/query_cmdrels_weight_analyze/0.5_0.4_0.1/su_227385.xlsx","su_227385")</f>
        <v>su_227385</v>
      </c>
      <c r="B318">
        <v>0</v>
      </c>
      <c r="C318">
        <v>0</v>
      </c>
      <c r="D318">
        <v>0</v>
      </c>
      <c r="E318">
        <v>0.29166666666666657</v>
      </c>
      <c r="F318">
        <v>0</v>
      </c>
      <c r="G318">
        <v>0.6791666666666667</v>
      </c>
    </row>
    <row r="319" spans="1:7" x14ac:dyDescent="0.15">
      <c r="A319" t="str">
        <f>HYPERLINK("./new_k5/query_cmdrels_weight_analyze/0.5_0.4_0.1/su_273254.xlsx","su_273254")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HYPERLINK("./new_k5/query_cmdrels_weight_analyze/0.5_0.4_0.1/su_294161.xlsx","su_294161")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HYPERLINK("./new_k5/query_cmdrels_weight_analyze/0.5_0.4_0.1/su_302396.xlsx","su_302396")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HYPERLINK("./new_k5/query_cmdrels_weight_analyze/0.5_0.4_0.1/su_303981.xlsx","su_303981")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HYPERLINK("./new_k5/query_cmdrels_weight_analyze/0.5_0.4_0.1/su_305128.xlsx","su_305128")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HYPERLINK("./new_k5/query_cmdrels_weight_analyze/0.5_0.4_0.1/su_31512.xlsx","su_31512")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HYPERLINK("./new_k5/query_cmdrels_weight_analyze/0.5_0.4_0.1/su_380520.xlsx","su_380520")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0.1111111111111111</v>
      </c>
      <c r="F325">
        <v>0.33333333333333331</v>
      </c>
      <c r="G325">
        <v>0.27777777777777768</v>
      </c>
    </row>
    <row r="326" spans="1:7" x14ac:dyDescent="0.15">
      <c r="A326" t="str">
        <f>HYPERLINK("./new_k5/query_cmdrels_weight_analyze/0.5_0.4_0.1/su_38981.xlsx","su_38981")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HYPERLINK("./new_k5/query_cmdrels_weight_analyze/0.5_0.4_0.1/su_437330.xlsx","su_437330")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HYPERLINK("./new_k5/query_cmdrels_weight_analyze/0.5_0.4_0.1/su_441379.xlsx","su_441379")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HYPERLINK("./new_k5/query_cmdrels_weight_analyze/0.5_0.4_0.1/su_462788.xlsx","su_462788")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0.33333333333333331</v>
      </c>
      <c r="F329">
        <v>0.30555555555555558</v>
      </c>
      <c r="G329">
        <v>0.42222222222222222</v>
      </c>
    </row>
    <row r="330" spans="1:7" x14ac:dyDescent="0.15">
      <c r="A330" t="str">
        <f>HYPERLINK("./new_k5/query_cmdrels_weight_analyze/0.5_0.4_0.1/su_626606.xlsx","su_626606")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0.5</v>
      </c>
    </row>
    <row r="331" spans="1:7" x14ac:dyDescent="0.15">
      <c r="A331" t="str">
        <f>HYPERLINK("./new_k5/query_cmdrels_weight_analyze/0.5_0.4_0.1/su_634469.xlsx","su_634469")</f>
        <v>su_634469</v>
      </c>
      <c r="B331">
        <v>0</v>
      </c>
      <c r="C331">
        <v>0.16666666666666671</v>
      </c>
      <c r="D331">
        <v>0</v>
      </c>
      <c r="E331">
        <v>0.33333333333333331</v>
      </c>
      <c r="F331">
        <v>0</v>
      </c>
      <c r="G331">
        <v>0.43333333333333329</v>
      </c>
    </row>
    <row r="332" spans="1:7" x14ac:dyDescent="0.15">
      <c r="A332" t="str">
        <f>HYPERLINK("./new_k5/query_cmdrels_weight_analyze/0.5_0.4_0.1/su_638616.xlsx","su_638616")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HYPERLINK("./new_k5/query_cmdrels_weight_analyze/0.5_0.4_0.1/su_678113.xlsx","su_678113")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HYPERLINK("./new_k5/query_cmdrels_weight_analyze/0.5_0.4_0.1/su_686394.xlsx","su_686394")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HYPERLINK("./new_k5/query_cmdrels_weight_analyze/0.5_0.4_0.1/su_716795.xlsx","su_716795")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0.125</v>
      </c>
    </row>
    <row r="336" spans="1:7" x14ac:dyDescent="0.15">
      <c r="A336" t="str">
        <f>HYPERLINK("./new_k5/query_cmdrels_weight_analyze/0.5_0.4_0.1/su_758463.xlsx","su_758463")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HYPERLINK("./new_k5/query_cmdrels_weight_analyze/0.5_0.4_0.1/su_766437.xlsx","su_766437")</f>
        <v>su_766437</v>
      </c>
      <c r="B337">
        <v>0</v>
      </c>
      <c r="C337">
        <v>0</v>
      </c>
      <c r="D337">
        <v>0</v>
      </c>
      <c r="E337">
        <v>0.23333333333333331</v>
      </c>
      <c r="F337">
        <v>0.05</v>
      </c>
      <c r="G337">
        <v>0.35333333333333328</v>
      </c>
    </row>
    <row r="338" spans="1:7" x14ac:dyDescent="0.15">
      <c r="A338" t="str">
        <f>HYPERLINK("./new_k5/query_cmdrels_weight_analyze/0.5_0.4_0.1/su_904001.xlsx","su_904001")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HYPERLINK("./new_k5/query_cmdrels_weight_analyze/0.5_0.4_0.1/ul_100959.xlsx","ul_100959")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HYPERLINK("./new_k5/query_cmdrels_weight_analyze/0.5_0.4_0.1/ul_101073.xlsx","ul_101073")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HYPERLINK("./new_k5/query_cmdrels_weight_analyze/0.5_0.4_0.1/ul_101237.xlsx","ul_101237")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HYPERLINK("./new_k5/query_cmdrels_weight_analyze/0.5_0.4_0.1/ul_102752.xlsx","ul_102752")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HYPERLINK("./new_k5/query_cmdrels_weight_analyze/0.5_0.4_0.1/ul_108174.xlsx","ul_108174")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HYPERLINK("./new_k5/query_cmdrels_weight_analyze/0.5_0.4_0.1/ul_109536.xlsx","ul_109536")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HYPERLINK("./new_k5/query_cmdrels_weight_analyze/0.5_0.4_0.1/ul_112050.xlsx","ul_112050")</f>
        <v>ul_112050</v>
      </c>
      <c r="B345">
        <v>0</v>
      </c>
      <c r="C345">
        <v>0.25</v>
      </c>
      <c r="D345">
        <v>0.125</v>
      </c>
      <c r="E345">
        <v>0.75</v>
      </c>
      <c r="F345">
        <v>0.125</v>
      </c>
      <c r="G345">
        <v>0.75</v>
      </c>
    </row>
    <row r="346" spans="1:7" x14ac:dyDescent="0.15">
      <c r="A346" t="str">
        <f>HYPERLINK("./new_k5/query_cmdrels_weight_analyze/0.5_0.4_0.1/ul_116070.xlsx","ul_116070")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HYPERLINK("./new_k5/query_cmdrels_weight_analyze/0.5_0.4_0.1/ul_11851.xlsx","ul_11851")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HYPERLINK("./new_k5/query_cmdrels_weight_analyze/0.5_0.4_0.1/ul_119126.xlsx","ul_119126")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HYPERLINK("./new_k5/query_cmdrels_weight_analyze/0.5_0.4_0.1/ul_121718.xlsx","ul_121718")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HYPERLINK("./new_k5/query_cmdrels_weight_analyze/0.5_0.4_0.1/ul_12227.xlsx","ul_12227")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HYPERLINK("./new_k5/query_cmdrels_weight_analyze/0.5_0.4_0.1/ul_12453.xlsx","ul_12453")</f>
        <v>ul_12453</v>
      </c>
      <c r="B351">
        <v>0</v>
      </c>
      <c r="C351">
        <v>0.25</v>
      </c>
      <c r="D351">
        <v>0.125</v>
      </c>
      <c r="E351">
        <v>0.75</v>
      </c>
      <c r="F351">
        <v>0.125</v>
      </c>
      <c r="G351">
        <v>1</v>
      </c>
    </row>
    <row r="352" spans="1:7" x14ac:dyDescent="0.15">
      <c r="A352" t="str">
        <f>HYPERLINK("./new_k5/query_cmdrels_weight_analyze/0.5_0.4_0.1/ul_12535.xlsx","ul_12535")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0.28666666666666663</v>
      </c>
    </row>
    <row r="353" spans="1:7" x14ac:dyDescent="0.15">
      <c r="A353" t="str">
        <f>HYPERLINK("./new_k5/query_cmdrels_weight_analyze/0.5_0.4_0.1/ul_127066.xlsx","ul_127066")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0.41666666666666657</v>
      </c>
    </row>
    <row r="354" spans="1:7" x14ac:dyDescent="0.15">
      <c r="A354" t="str">
        <f>HYPERLINK("./new_k5/query_cmdrels_weight_analyze/0.5_0.4_0.1/ul_128953.xlsx","ul_128953")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HYPERLINK("./new_k5/query_cmdrels_weight_analyze/0.5_0.4_0.1/ul_134829.xlsx","ul_134829")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0.66666666666666663</v>
      </c>
    </row>
    <row r="356" spans="1:7" x14ac:dyDescent="0.15">
      <c r="A356" t="str">
        <f>HYPERLINK("./new_k5/query_cmdrels_weight_analyze/0.5_0.4_0.1/ul_136371.xlsx","ul_136371")</f>
        <v>ul_136371</v>
      </c>
      <c r="B356">
        <v>0</v>
      </c>
      <c r="C356">
        <v>0</v>
      </c>
      <c r="D356">
        <v>0</v>
      </c>
      <c r="E356">
        <v>0.16666666666666671</v>
      </c>
      <c r="F356">
        <v>0</v>
      </c>
      <c r="G356">
        <v>0.3</v>
      </c>
    </row>
    <row r="357" spans="1:7" x14ac:dyDescent="0.15">
      <c r="A357" t="str">
        <f>HYPERLINK("./new_k5/query_cmdrels_weight_analyze/0.5_0.4_0.1/ul_136884.xlsx","ul_136884")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HYPERLINK("./new_k5/query_cmdrels_weight_analyze/0.5_0.4_0.1/ul_138398.xlsx","ul_138398")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HYPERLINK("./new_k5/query_cmdrels_weight_analyze/0.5_0.4_0.1/ul_139271.xlsx","ul_139271")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0.16666666666666671</v>
      </c>
      <c r="F359">
        <v>0.33333333333333331</v>
      </c>
      <c r="G359">
        <v>0.35</v>
      </c>
    </row>
    <row r="360" spans="1:7" x14ac:dyDescent="0.15">
      <c r="A360" t="str">
        <f>HYPERLINK("./new_k5/query_cmdrels_weight_analyze/0.5_0.4_0.1/ul_140482.xlsx","ul_140482")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HYPERLINK("./new_k5/query_cmdrels_weight_analyze/0.5_0.4_0.1/ul_14191.xlsx","ul_14191")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0.1111111111111111</v>
      </c>
    </row>
    <row r="362" spans="1:7" x14ac:dyDescent="0.15">
      <c r="A362" t="str">
        <f>HYPERLINK("./new_k5/query_cmdrels_weight_analyze/0.5_0.4_0.1/ul_145929.xlsx","ul_145929")</f>
        <v>ul_145929</v>
      </c>
      <c r="B362">
        <v>0</v>
      </c>
      <c r="C362">
        <v>0</v>
      </c>
      <c r="D362">
        <v>0.16666666666666671</v>
      </c>
      <c r="E362">
        <v>0.25</v>
      </c>
      <c r="F362">
        <v>0.16666666666666671</v>
      </c>
      <c r="G362">
        <v>0.5</v>
      </c>
    </row>
    <row r="363" spans="1:7" x14ac:dyDescent="0.15">
      <c r="A363" t="str">
        <f>HYPERLINK("./new_k5/query_cmdrels_weight_analyze/0.5_0.4_0.1/ul_148985.xlsx","ul_148985")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HYPERLINK("./new_k5/query_cmdrels_weight_analyze/0.5_0.4_0.1/ul_15405.xlsx","ul_15405")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HYPERLINK("./new_k5/query_cmdrels_weight_analyze/0.5_0.4_0.1/ul_155551.xlsx","ul_155551")</f>
        <v>ul_155551</v>
      </c>
      <c r="B365">
        <v>0</v>
      </c>
      <c r="C365">
        <v>0.5</v>
      </c>
      <c r="D365">
        <v>0</v>
      </c>
      <c r="E365">
        <v>0.83333333333333326</v>
      </c>
      <c r="F365">
        <v>0</v>
      </c>
      <c r="G365">
        <v>0.83333333333333326</v>
      </c>
    </row>
    <row r="366" spans="1:7" x14ac:dyDescent="0.15">
      <c r="A366" t="str">
        <f>HYPERLINK("./new_k5/query_cmdrels_weight_analyze/0.5_0.4_0.1/ul_159672.xlsx","ul_159672")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HYPERLINK("./new_k5/query_cmdrels_weight_analyze/0.5_0.4_0.1/ul_163845.xlsx","ul_163845")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HYPERLINK("./new_k5/query_cmdrels_weight_analyze/0.5_0.4_0.1/ul_16407.xlsx","ul_16407")</f>
        <v>ul_16407</v>
      </c>
      <c r="B368">
        <v>0.5</v>
      </c>
      <c r="C368">
        <v>0</v>
      </c>
      <c r="D368">
        <v>0.5</v>
      </c>
      <c r="E368">
        <v>0.25</v>
      </c>
      <c r="F368">
        <v>0.75</v>
      </c>
      <c r="G368">
        <v>0.25</v>
      </c>
    </row>
    <row r="369" spans="1:7" x14ac:dyDescent="0.15">
      <c r="A369" t="str">
        <f>HYPERLINK("./new_k5/query_cmdrels_weight_analyze/0.5_0.4_0.1/ul_166558.xlsx","ul_166558")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HYPERLINK("./new_k5/query_cmdrels_weight_analyze/0.5_0.4_0.1/ul_171314.xlsx","ul_171314")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0.25</v>
      </c>
    </row>
    <row r="371" spans="1:7" x14ac:dyDescent="0.15">
      <c r="A371" t="str">
        <f>HYPERLINK("./new_k5/query_cmdrels_weight_analyze/0.5_0.4_0.1/ul_182032.xlsx","ul_182032")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HYPERLINK("./new_k5/query_cmdrels_weight_analyze/0.5_0.4_0.1/ul_19344.xlsx","ul_19344")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HYPERLINK("./new_k5/query_cmdrels_weight_analyze/0.5_0.4_0.1/ul_19369.xlsx","ul_19369")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HYPERLINK("./new_k5/query_cmdrels_weight_analyze/0.5_0.4_0.1/ul_19485.xlsx","ul_19485")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HYPERLINK("./new_k5/query_cmdrels_weight_analyze/0.5_0.4_0.1/ul_20370.xlsx","ul_20370")</f>
        <v>ul_20370</v>
      </c>
      <c r="B375">
        <v>0</v>
      </c>
      <c r="C375">
        <v>0.5</v>
      </c>
      <c r="D375">
        <v>0</v>
      </c>
      <c r="E375">
        <v>0.5</v>
      </c>
      <c r="F375">
        <v>0</v>
      </c>
      <c r="G375">
        <v>0.5</v>
      </c>
    </row>
    <row r="376" spans="1:7" x14ac:dyDescent="0.15">
      <c r="A376" t="str">
        <f>HYPERLINK("./new_k5/query_cmdrels_weight_analyze/0.5_0.4_0.1/ul_211817.xlsx","ul_211817")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HYPERLINK("./new_k5/query_cmdrels_weight_analyze/0.5_0.4_0.1/ul_212925.xlsx","ul_212925")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HYPERLINK("./new_k5/query_cmdrels_weight_analyze/0.5_0.4_0.1/ul_21471.xlsx","ul_21471")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HYPERLINK("./new_k5/query_cmdrels_weight_analyze/0.5_0.4_0.1/ul_22545.xlsx","ul_22545")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HYPERLINK("./new_k5/query_cmdrels_weight_analyze/0.5_0.4_0.1/ul_230481.xlsx","ul_230481")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0.75555555555555554</v>
      </c>
    </row>
    <row r="381" spans="1:7" x14ac:dyDescent="0.15">
      <c r="A381" t="str">
        <f>HYPERLINK("./new_k5/query_cmdrels_weight_analyze/0.5_0.4_0.1/ul_230673.xlsx","ul_230673")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0.45</v>
      </c>
    </row>
    <row r="382" spans="1:7" x14ac:dyDescent="0.15">
      <c r="A382" t="str">
        <f>HYPERLINK("./new_k5/query_cmdrels_weight_analyze/0.5_0.4_0.1/ul_230800.xlsx","ul_230800")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HYPERLINK("./new_k5/query_cmdrels_weight_analyze/0.5_0.4_0.1/ul_232384.xlsx","ul_232384")</f>
        <v>ul_232384</v>
      </c>
      <c r="B383">
        <v>0</v>
      </c>
      <c r="C383">
        <v>0.5</v>
      </c>
      <c r="D383">
        <v>0</v>
      </c>
      <c r="E383">
        <v>0.83333333333333326</v>
      </c>
      <c r="F383">
        <v>0</v>
      </c>
      <c r="G383">
        <v>0.83333333333333326</v>
      </c>
    </row>
    <row r="384" spans="1:7" x14ac:dyDescent="0.15">
      <c r="A384" t="str">
        <f>HYPERLINK("./new_k5/query_cmdrels_weight_analyze/0.5_0.4_0.1/ul_24441.xlsx","ul_24441")</f>
        <v>ul_24441</v>
      </c>
      <c r="B384">
        <v>0</v>
      </c>
      <c r="C384">
        <v>0.5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HYPERLINK("./new_k5/query_cmdrels_weight_analyze/0.5_0.4_0.1/ul_246535.xlsx","ul_246535")</f>
        <v>ul_246535</v>
      </c>
      <c r="B385">
        <v>0.2</v>
      </c>
      <c r="C385">
        <v>0</v>
      </c>
      <c r="D385">
        <v>0.2</v>
      </c>
      <c r="E385">
        <v>0.23333333333333331</v>
      </c>
      <c r="F385">
        <v>0.2</v>
      </c>
      <c r="G385">
        <v>0.23333333333333331</v>
      </c>
    </row>
    <row r="386" spans="1:7" x14ac:dyDescent="0.15">
      <c r="A386" t="str">
        <f>HYPERLINK("./new_k5/query_cmdrels_weight_analyze/0.5_0.4_0.1/ul_259791.xlsx","ul_259791")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HYPERLINK("./new_k5/query_cmdrels_weight_analyze/0.5_0.4_0.1/ul_273971.xlsx","ul_273971")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0.27777777777777768</v>
      </c>
      <c r="F387">
        <v>0.43333333333333329</v>
      </c>
      <c r="G387">
        <v>0.27777777777777768</v>
      </c>
    </row>
    <row r="388" spans="1:7" x14ac:dyDescent="0.15">
      <c r="A388" t="str">
        <f>HYPERLINK("./new_k5/query_cmdrels_weight_analyze/0.5_0.4_0.1/ul_28553.xlsx","ul_28553")</f>
        <v>ul_28553</v>
      </c>
      <c r="B388">
        <v>0.25</v>
      </c>
      <c r="C388">
        <v>0.25</v>
      </c>
      <c r="D388">
        <v>0.5</v>
      </c>
      <c r="E388">
        <v>0.25</v>
      </c>
      <c r="F388">
        <v>0.5</v>
      </c>
      <c r="G388">
        <v>0.25</v>
      </c>
    </row>
    <row r="389" spans="1:7" x14ac:dyDescent="0.15">
      <c r="A389" t="str">
        <f>HYPERLINK("./new_k5/query_cmdrels_weight_analyze/0.5_0.4_0.1/ul_288521.xlsx","ul_288521")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HYPERLINK("./new_k5/query_cmdrels_weight_analyze/0.5_0.4_0.1/ul_32290.xlsx","ul_32290")</f>
        <v>ul_32290</v>
      </c>
      <c r="B390">
        <v>0</v>
      </c>
      <c r="C390">
        <v>0</v>
      </c>
      <c r="D390">
        <v>0</v>
      </c>
      <c r="E390">
        <v>8.3333333333333329E-2</v>
      </c>
      <c r="F390">
        <v>0</v>
      </c>
      <c r="G390">
        <v>8.3333333333333329E-2</v>
      </c>
    </row>
    <row r="391" spans="1:7" x14ac:dyDescent="0.15">
      <c r="A391" t="str">
        <f>HYPERLINK("./new_k5/query_cmdrels_weight_analyze/0.5_0.4_0.1/ul_328882.xlsx","ul_328882")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HYPERLINK("./new_k5/query_cmdrels_weight_analyze/0.5_0.4_0.1/ul_35131.xlsx","ul_35131")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0.66666666666666663</v>
      </c>
    </row>
    <row r="393" spans="1:7" x14ac:dyDescent="0.15">
      <c r="A393" t="str">
        <f>HYPERLINK("./new_k5/query_cmdrels_weight_analyze/0.5_0.4_0.1/ul_35333.xlsx","ul_35333")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HYPERLINK("./new_k5/query_cmdrels_weight_analyze/0.5_0.4_0.1/ul_35711.xlsx","ul_35711")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HYPERLINK("./new_k5/query_cmdrels_weight_analyze/0.5_0.4_0.1/ul_3575.xlsx","ul_3575")</f>
        <v>ul_3575</v>
      </c>
      <c r="B395">
        <v>0</v>
      </c>
      <c r="C395">
        <v>0</v>
      </c>
      <c r="D395">
        <v>8.3333333333333329E-2</v>
      </c>
      <c r="E395">
        <v>0</v>
      </c>
      <c r="F395">
        <v>8.3333333333333329E-2</v>
      </c>
      <c r="G395">
        <v>4.1666666666666657E-2</v>
      </c>
    </row>
    <row r="396" spans="1:7" x14ac:dyDescent="0.15">
      <c r="A396" t="str">
        <f>HYPERLINK("./new_k5/query_cmdrels_weight_analyze/0.5_0.4_0.1/ul_35832.xlsx","ul_35832")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HYPERLINK("./new_k5/query_cmdrels_weight_analyze/0.5_0.4_0.1/ul_370318.xlsx","ul_370318")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0.23809523809523811</v>
      </c>
      <c r="F397">
        <v>0.14285714285714279</v>
      </c>
      <c r="G397">
        <v>0.23809523809523811</v>
      </c>
    </row>
    <row r="398" spans="1:7" x14ac:dyDescent="0.15">
      <c r="A398" t="str">
        <f>HYPERLINK("./new_k5/query_cmdrels_weight_analyze/0.5_0.4_0.1/ul_37329.xlsx","ul_37329")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0.66666666666666663</v>
      </c>
      <c r="F398">
        <v>0.33333333333333331</v>
      </c>
      <c r="G398">
        <v>0.66666666666666663</v>
      </c>
    </row>
    <row r="399" spans="1:7" x14ac:dyDescent="0.15">
      <c r="A399" t="str">
        <f>HYPERLINK("./new_k5/query_cmdrels_weight_analyze/0.5_0.4_0.1/ul_38209.xlsx","ul_38209")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HYPERLINK("./new_k5/query_cmdrels_weight_analyze/0.5_0.4_0.1/ul_41246.xlsx","ul_41246")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HYPERLINK("./new_k5/query_cmdrels_weight_analyze/0.5_0.4_0.1/ul_41362.xlsx","ul_41362")</f>
        <v>ul_41362</v>
      </c>
      <c r="B401">
        <v>0</v>
      </c>
      <c r="C401">
        <v>0</v>
      </c>
      <c r="D401">
        <v>0</v>
      </c>
      <c r="E401">
        <v>8.3333333333333329E-2</v>
      </c>
      <c r="F401">
        <v>0</v>
      </c>
      <c r="G401">
        <v>8.3333333333333329E-2</v>
      </c>
    </row>
    <row r="402" spans="1:7" x14ac:dyDescent="0.15">
      <c r="A402" t="str">
        <f>HYPERLINK("./new_k5/query_cmdrels_weight_analyze/0.5_0.4_0.1/ul_48200.xlsx","ul_48200")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HYPERLINK("./new_k5/query_cmdrels_weight_analyze/0.5_0.4_0.1/ul_50098.xlsx","ul_50098")</f>
        <v>ul_50098</v>
      </c>
      <c r="B403">
        <v>0</v>
      </c>
      <c r="C403">
        <v>0</v>
      </c>
      <c r="D403">
        <v>0.1166666666666667</v>
      </c>
      <c r="E403">
        <v>0.05</v>
      </c>
      <c r="F403">
        <v>0.1166666666666667</v>
      </c>
      <c r="G403">
        <v>0.16</v>
      </c>
    </row>
    <row r="404" spans="1:7" x14ac:dyDescent="0.15">
      <c r="A404" t="str">
        <f>HYPERLINK("./new_k5/query_cmdrels_weight_analyze/0.5_0.4_0.1/ul_50785.xlsx","ul_50785")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HYPERLINK("./new_k5/query_cmdrels_weight_analyze/0.5_0.4_0.1/ul_5085.xlsx","ul_5085")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HYPERLINK("./new_k5/query_cmdrels_weight_analyze/0.5_0.4_0.1/ul_53737.xlsx","ul_53737")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HYPERLINK("./new_k5/query_cmdrels_weight_analyze/0.5_0.4_0.1/ul_55125.xlsx","ul_55125")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HYPERLINK("./new_k5/query_cmdrels_weight_analyze/0.5_0.4_0.1/ul_56453.xlsx","ul_56453")</f>
        <v>ul_56453</v>
      </c>
      <c r="B408">
        <v>0</v>
      </c>
      <c r="C408">
        <v>0.25</v>
      </c>
      <c r="D408">
        <v>8.3333333333333329E-2</v>
      </c>
      <c r="E408">
        <v>0.25</v>
      </c>
      <c r="F408">
        <v>8.3333333333333329E-2</v>
      </c>
      <c r="G408">
        <v>0.52500000000000002</v>
      </c>
    </row>
    <row r="409" spans="1:7" x14ac:dyDescent="0.15">
      <c r="A409" t="str">
        <f>HYPERLINK("./new_k5/query_cmdrels_weight_analyze/0.5_0.4_0.1/ul_63648.xlsx","ul_63648")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HYPERLINK("./new_k5/query_cmdrels_weight_analyze/0.5_0.4_0.1/ul_6402.xlsx","ul_6402")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0.33333333333333331</v>
      </c>
    </row>
    <row r="411" spans="1:7" x14ac:dyDescent="0.15">
      <c r="A411" t="str">
        <f>HYPERLINK("./new_k5/query_cmdrels_weight_analyze/0.5_0.4_0.1/ul_65106.xlsx","ul_65106")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0.66666666666666663</v>
      </c>
    </row>
    <row r="412" spans="1:7" x14ac:dyDescent="0.15">
      <c r="A412" t="str">
        <f>HYPERLINK("./new_k5/query_cmdrels_weight_analyze/0.5_0.4_0.1/ul_65932.xlsx","ul_65932")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HYPERLINK("./new_k5/query_cmdrels_weight_analyze/0.5_0.4_0.1/ul_6596.xlsx","ul_6596")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HYPERLINK("./new_k5/query_cmdrels_weight_analyze/0.5_0.4_0.1/ul_67503.xlsx","ul_67503")</f>
        <v>ul_67503</v>
      </c>
      <c r="B414">
        <v>0</v>
      </c>
      <c r="C414">
        <v>0.5</v>
      </c>
      <c r="D414">
        <v>0.25</v>
      </c>
      <c r="E414">
        <v>0.5</v>
      </c>
      <c r="F414">
        <v>0.5</v>
      </c>
      <c r="G414">
        <v>0.5</v>
      </c>
    </row>
    <row r="415" spans="1:7" x14ac:dyDescent="0.15">
      <c r="A415" t="str">
        <f>HYPERLINK("./new_k5/query_cmdrels_weight_analyze/0.5_0.4_0.1/ul_67592.xlsx","ul_67592")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HYPERLINK("./new_k5/query_cmdrels_weight_analyze/0.5_0.4_0.1/ul_70581.xlsx","ul_70581")</f>
        <v>ul_70581</v>
      </c>
      <c r="B416">
        <v>0</v>
      </c>
      <c r="C416">
        <v>0.2</v>
      </c>
      <c r="D416">
        <v>0.1</v>
      </c>
      <c r="E416">
        <v>0.6</v>
      </c>
      <c r="F416">
        <v>0.1</v>
      </c>
      <c r="G416">
        <v>0.6</v>
      </c>
    </row>
    <row r="417" spans="1:7" x14ac:dyDescent="0.15">
      <c r="A417" t="str">
        <f>HYPERLINK("./new_k5/query_cmdrels_weight_analyze/0.5_0.4_0.1/ul_70614.xlsx","ul_70614")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HYPERLINK("./new_k5/query_cmdrels_weight_analyze/0.5_0.4_0.1/ul_71465.xlsx","ul_71465")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HYPERLINK("./new_k5/query_cmdrels_weight_analyze/0.5_0.4_0.1/ul_7226.xlsx","ul_7226")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0.33333333333333331</v>
      </c>
      <c r="F419">
        <v>0.33333333333333331</v>
      </c>
      <c r="G419">
        <v>0.5</v>
      </c>
    </row>
    <row r="420" spans="1:7" x14ac:dyDescent="0.15">
      <c r="A420" t="str">
        <f>HYPERLINK("./new_k5/query_cmdrels_weight_analyze/0.5_0.4_0.1/ul_78182.xlsx","ul_78182")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</v>
      </c>
    </row>
    <row r="421" spans="1:7" x14ac:dyDescent="0.15">
      <c r="A421" t="str">
        <f>HYPERLINK("./new_k5/query_cmdrels_weight_analyze/0.5_0.4_0.1/ul_79678.xlsx","ul_79678")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HYPERLINK("./new_k5/query_cmdrels_weight_analyze/0.5_0.4_0.1/ul_79702.xlsx","ul_79702")</f>
        <v>ul_79702</v>
      </c>
      <c r="B422">
        <v>0</v>
      </c>
      <c r="C422">
        <v>0.33333333333333331</v>
      </c>
      <c r="D422">
        <v>0</v>
      </c>
      <c r="E422">
        <v>0.55555555555555547</v>
      </c>
      <c r="F422">
        <v>0</v>
      </c>
      <c r="G422">
        <v>0.75555555555555554</v>
      </c>
    </row>
    <row r="423" spans="1:7" x14ac:dyDescent="0.15">
      <c r="A423" t="str">
        <f>HYPERLINK("./new_k5/query_cmdrels_weight_analyze/0.5_0.4_0.1/ul_83593.xlsx","ul_83593")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HYPERLINK("./new_k5/query_cmdrels_weight_analyze/0.5_0.4_0.1/ul_84381.xlsx","ul_84381")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HYPERLINK("./new_k5/query_cmdrels_weight_analyze/0.5_0.4_0.1/ul_85180.xlsx","ul_85180")</f>
        <v>ul_85180</v>
      </c>
      <c r="B425">
        <v>0</v>
      </c>
      <c r="C425">
        <v>0.33333333333333331</v>
      </c>
      <c r="D425">
        <v>0.16666666666666671</v>
      </c>
      <c r="E425">
        <v>0.33333333333333331</v>
      </c>
      <c r="F425">
        <v>0.16666666666666671</v>
      </c>
      <c r="G425">
        <v>0.5</v>
      </c>
    </row>
    <row r="426" spans="1:7" x14ac:dyDescent="0.15">
      <c r="A426" t="str">
        <f>HYPERLINK("./new_k5/query_cmdrels_weight_analyze/0.5_0.4_0.1/ul_86071.xlsx","ul_86071")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HYPERLINK("./new_k5/query_cmdrels_weight_analyze/0.5_0.4_0.1/ul_86729.xlsx","ul_86729")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HYPERLINK("./new_k5/query_cmdrels_weight_analyze/0.5_0.4_0.1/ul_88824.xlsx","ul_88824")</f>
        <v>ul_88824</v>
      </c>
      <c r="B428">
        <v>0</v>
      </c>
      <c r="C428">
        <v>0.33333333333333331</v>
      </c>
      <c r="D428">
        <v>0</v>
      </c>
      <c r="E428">
        <v>0.33333333333333331</v>
      </c>
      <c r="F428">
        <v>0</v>
      </c>
      <c r="G428">
        <v>0.33333333333333331</v>
      </c>
    </row>
    <row r="429" spans="1:7" x14ac:dyDescent="0.15">
      <c r="A429" t="str">
        <f>HYPERLINK("./new_k5/query_cmdrels_weight_analyze/0.5_0.4_0.1/ul_8945.xlsx","ul_8945")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HYPERLINK("./new_k5/query_cmdrels_weight_analyze/0.5_0.4_0.1/ul_89933.xlsx","ul_89933")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HYPERLINK("./new_k5/query_cmdrels_weight_analyze/0.5_0.4_0.1/ul_91297.xlsx","ul_91297")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HYPERLINK("./new_k5/query_cmdrels_weight_analyze/0.5_0.4_0.1/ul_9252.xlsx","ul_9252")</f>
        <v>ul_9252</v>
      </c>
      <c r="B432">
        <v>0</v>
      </c>
      <c r="C432">
        <v>0</v>
      </c>
      <c r="D432">
        <v>0.23333333333333331</v>
      </c>
      <c r="E432">
        <v>6.6666666666666666E-2</v>
      </c>
      <c r="F432">
        <v>0.23333333333333331</v>
      </c>
      <c r="G432">
        <v>0.1466666666666667</v>
      </c>
    </row>
    <row r="433" spans="1:7" x14ac:dyDescent="0.15">
      <c r="A433" t="str">
        <f>HYPERLINK("./new_k5/query_cmdrels_weight_analyze/0.5_0.4_0.1/ul_92560.xlsx","ul_92560")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0.5</v>
      </c>
    </row>
    <row r="434" spans="1:7" x14ac:dyDescent="0.15">
      <c r="A434" t="str">
        <f>HYPERLINK("./new_k5/query_cmdrels_weight_analyze/0.5_0.4_0.1/ul_92799.xlsx","ul_92799")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0.5</v>
      </c>
      <c r="F434">
        <v>0.53611111111111109</v>
      </c>
      <c r="G434">
        <v>0.6333333333333333</v>
      </c>
    </row>
    <row r="435" spans="1:7" x14ac:dyDescent="0.15">
      <c r="A435" t="str">
        <f>HYPERLINK("./new_k5/query_cmdrels_weight_analyze/0.5_0.4_0.1/ul_93139.xlsx","ul_93139")</f>
        <v>ul_93139</v>
      </c>
      <c r="B435">
        <v>0</v>
      </c>
      <c r="C435">
        <v>0.5</v>
      </c>
      <c r="D435">
        <v>0.25</v>
      </c>
      <c r="E435">
        <v>0.5</v>
      </c>
      <c r="F435">
        <v>0.25</v>
      </c>
      <c r="G435">
        <v>0.5</v>
      </c>
    </row>
    <row r="436" spans="1:7" x14ac:dyDescent="0.15">
      <c r="A436" t="str">
        <f>HYPERLINK("./new_k5/query_cmdrels_weight_analyze/0.5_0.4_0.1/ul_98461.xlsx","ul_98461")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HYPERLINK("./new_k5/query_cmdrels_weight_analyze/0.6_0.1_0.3/au_102733.xlsx","au_102733")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HYPERLINK("./new_k5/query_cmdrels_weight_analyze/0.6_0.1_0.3/au_1029436.xlsx","au_1029436")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HYPERLINK("./new_k5/query_cmdrels_weight_analyze/0.6_0.1_0.3/au_1029502.xlsx","au_1029502")</f>
        <v>au_1029502</v>
      </c>
      <c r="B5">
        <v>0.25</v>
      </c>
      <c r="C5">
        <v>0</v>
      </c>
      <c r="D5">
        <v>0.25</v>
      </c>
      <c r="E5">
        <v>8.3333333333333329E-2</v>
      </c>
      <c r="F5">
        <v>0.375</v>
      </c>
      <c r="G5">
        <v>8.3333333333333329E-2</v>
      </c>
    </row>
    <row r="6" spans="1:7" x14ac:dyDescent="0.15">
      <c r="A6" t="str">
        <f>HYPERLINK("./new_k5/query_cmdrels_weight_analyze/0.6_0.1_0.3/au_1029531.xlsx","au_1029531")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HYPERLINK("./new_k5/query_cmdrels_weight_analyze/0.6_0.1_0.3/au_104542.xlsx","au_104542")</f>
        <v>au_104542</v>
      </c>
      <c r="B7">
        <v>0.125</v>
      </c>
      <c r="C7">
        <v>0.125</v>
      </c>
      <c r="D7">
        <v>0.25</v>
      </c>
      <c r="E7">
        <v>0.25</v>
      </c>
      <c r="F7">
        <v>0.25</v>
      </c>
      <c r="G7">
        <v>0.25</v>
      </c>
    </row>
    <row r="8" spans="1:7" x14ac:dyDescent="0.15">
      <c r="A8" t="str">
        <f>HYPERLINK("./new_k5/query_cmdrels_weight_analyze/0.6_0.1_0.3/au_109070.xlsx","au_109070")</f>
        <v>au_109070</v>
      </c>
      <c r="B8">
        <v>0</v>
      </c>
      <c r="C8">
        <v>0</v>
      </c>
      <c r="D8">
        <v>0.23333333333333331</v>
      </c>
      <c r="E8">
        <v>6.6666666666666666E-2</v>
      </c>
      <c r="F8">
        <v>0.3833333333333333</v>
      </c>
      <c r="G8">
        <v>6.6666666666666666E-2</v>
      </c>
    </row>
    <row r="9" spans="1:7" x14ac:dyDescent="0.15">
      <c r="A9" t="str">
        <f>HYPERLINK("./new_k5/query_cmdrels_weight_analyze/0.6_0.1_0.3/au_109381.xlsx","au_109381")</f>
        <v>au_109381</v>
      </c>
      <c r="B9">
        <v>0</v>
      </c>
      <c r="C9">
        <v>0</v>
      </c>
      <c r="D9">
        <v>0.25</v>
      </c>
      <c r="E9">
        <v>0.25</v>
      </c>
      <c r="F9">
        <v>0.25</v>
      </c>
      <c r="G9">
        <v>0.25</v>
      </c>
    </row>
    <row r="10" spans="1:7" x14ac:dyDescent="0.15">
      <c r="A10" t="str">
        <f>HYPERLINK("./new_k5/query_cmdrels_weight_analyze/0.6_0.1_0.3/au_110477.xlsx","au_110477")</f>
        <v>au_110477</v>
      </c>
      <c r="B10">
        <v>0.25</v>
      </c>
      <c r="C10">
        <v>0.25</v>
      </c>
      <c r="D10">
        <v>0.5</v>
      </c>
      <c r="E10">
        <v>0.5</v>
      </c>
      <c r="F10">
        <v>0.5</v>
      </c>
      <c r="G10">
        <v>0.5</v>
      </c>
    </row>
    <row r="11" spans="1:7" x14ac:dyDescent="0.15">
      <c r="A11" t="str">
        <f>HYPERLINK("./new_k5/query_cmdrels_weight_analyze/0.6_0.1_0.3/au_111678.xlsx","au_111678")</f>
        <v>au_111678</v>
      </c>
      <c r="B11">
        <v>0</v>
      </c>
      <c r="C11">
        <v>0</v>
      </c>
      <c r="D11">
        <v>0.1111111111111111</v>
      </c>
      <c r="E11">
        <v>0.1111111111111111</v>
      </c>
      <c r="F11">
        <v>0.1111111111111111</v>
      </c>
      <c r="G11">
        <v>0.1111111111111111</v>
      </c>
    </row>
    <row r="12" spans="1:7" x14ac:dyDescent="0.15">
      <c r="A12" t="str">
        <f>HYPERLINK("./new_k5/query_cmdrels_weight_analyze/0.6_0.1_0.3/au_112512.xlsx","au_112512")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HYPERLINK("./new_k5/query_cmdrels_weight_analyze/0.6_0.1_0.3/au_115369.xlsx","au_115369")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HYPERLINK("./new_k5/query_cmdrels_weight_analyze/0.6_0.1_0.3/au_11789.xlsx","au_11789")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HYPERLINK("./new_k5/query_cmdrels_weight_analyze/0.6_0.1_0.3/au_117950.xlsx","au_117950")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0.125</v>
      </c>
    </row>
    <row r="16" spans="1:7" x14ac:dyDescent="0.15">
      <c r="A16" t="str">
        <f>HYPERLINK("./new_k5/query_cmdrels_weight_analyze/0.6_0.1_0.3/au_122113.xlsx","au_122113")</f>
        <v>au_122113</v>
      </c>
      <c r="B16">
        <v>0.25</v>
      </c>
      <c r="C16">
        <v>0</v>
      </c>
      <c r="D16">
        <v>0.25</v>
      </c>
      <c r="E16">
        <v>0.125</v>
      </c>
      <c r="F16">
        <v>0.25</v>
      </c>
      <c r="G16">
        <v>0.25</v>
      </c>
    </row>
    <row r="17" spans="1:7" x14ac:dyDescent="0.15">
      <c r="A17" t="str">
        <f>HYPERLINK("./new_k5/query_cmdrels_weight_analyze/0.6_0.1_0.3/au_123798.xlsx","au_123798")</f>
        <v>au_123798</v>
      </c>
      <c r="B17">
        <v>0</v>
      </c>
      <c r="C17">
        <v>0</v>
      </c>
      <c r="D17">
        <v>5.5555555555555552E-2</v>
      </c>
      <c r="E17">
        <v>8.3333333333333329E-2</v>
      </c>
      <c r="F17">
        <v>0.23888888888888879</v>
      </c>
      <c r="G17">
        <v>0.26666666666666672</v>
      </c>
    </row>
    <row r="18" spans="1:7" x14ac:dyDescent="0.15">
      <c r="A18" t="str">
        <f>HYPERLINK("./new_k5/query_cmdrels_weight_analyze/0.6_0.1_0.3/au_125257.xlsx","au_125257")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HYPERLINK("./new_k5/query_cmdrels_weight_analyze/0.6_0.1_0.3/au_126153.xlsx","au_126153")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0.5</v>
      </c>
      <c r="F19">
        <v>0.45833333333333331</v>
      </c>
      <c r="G19">
        <v>0.66666666666666663</v>
      </c>
    </row>
    <row r="20" spans="1:7" x14ac:dyDescent="0.15">
      <c r="A20" t="str">
        <f>HYPERLINK("./new_k5/query_cmdrels_weight_analyze/0.6_0.1_0.3/au_127326.xlsx","au_127326")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HYPERLINK("./new_k5/query_cmdrels_weight_analyze/0.6_0.1_0.3/au_128463.xlsx","au_128463")</f>
        <v>au_128463</v>
      </c>
      <c r="B21">
        <v>0.33333333333333331</v>
      </c>
      <c r="C21">
        <v>0.33333333333333331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HYPERLINK("./new_k5/query_cmdrels_weight_analyze/0.6_0.1_0.3/au_130393.xlsx","au_130393")</f>
        <v>au_130393</v>
      </c>
      <c r="B22">
        <v>0</v>
      </c>
      <c r="C22">
        <v>0</v>
      </c>
      <c r="D22">
        <v>0.125</v>
      </c>
      <c r="E22">
        <v>0.125</v>
      </c>
      <c r="F22">
        <v>0.125</v>
      </c>
      <c r="G22">
        <v>0.25</v>
      </c>
    </row>
    <row r="23" spans="1:7" x14ac:dyDescent="0.15">
      <c r="A23" t="str">
        <f>HYPERLINK("./new_k5/query_cmdrels_weight_analyze/0.6_0.1_0.3/au_131570.xlsx","au_131570")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HYPERLINK("./new_k5/query_cmdrels_weight_analyze/0.6_0.1_0.3/au_133318.xlsx","au_133318")</f>
        <v>au_133318</v>
      </c>
      <c r="B24">
        <v>0</v>
      </c>
      <c r="C24">
        <v>0.25</v>
      </c>
      <c r="D24">
        <v>0</v>
      </c>
      <c r="E24">
        <v>0.25</v>
      </c>
      <c r="F24">
        <v>0</v>
      </c>
      <c r="G24">
        <v>0.35</v>
      </c>
    </row>
    <row r="25" spans="1:7" x14ac:dyDescent="0.15">
      <c r="A25" t="str">
        <f>HYPERLINK("./new_k5/query_cmdrels_weight_analyze/0.6_0.1_0.3/au_133343.xlsx","au_133343")</f>
        <v>au_133343</v>
      </c>
      <c r="B25">
        <v>0</v>
      </c>
      <c r="C25">
        <v>0</v>
      </c>
      <c r="D25">
        <v>0</v>
      </c>
      <c r="E25">
        <v>0.38888888888888878</v>
      </c>
      <c r="F25">
        <v>0</v>
      </c>
      <c r="G25">
        <v>0.38888888888888878</v>
      </c>
    </row>
    <row r="26" spans="1:7" x14ac:dyDescent="0.15">
      <c r="A26" t="str">
        <f>HYPERLINK("./new_k5/query_cmdrels_weight_analyze/0.6_0.1_0.3/au_133389.xlsx","au_133389")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HYPERLINK("./new_k5/query_cmdrels_weight_analyze/0.6_0.1_0.3/au_141277.xlsx","au_141277")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HYPERLINK("./new_k5/query_cmdrels_weight_analyze/0.6_0.1_0.3/au_143819.xlsx","au_143819")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HYPERLINK("./new_k5/query_cmdrels_weight_analyze/0.6_0.1_0.3/au_145935.xlsx","au_145935")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HYPERLINK("./new_k5/query_cmdrels_weight_analyze/0.6_0.1_0.3/au_147241.xlsx","au_147241")</f>
        <v>au_147241</v>
      </c>
      <c r="B30">
        <v>0</v>
      </c>
      <c r="C30">
        <v>0</v>
      </c>
      <c r="D30">
        <v>0.29166666666666657</v>
      </c>
      <c r="E30">
        <v>0.29166666666666657</v>
      </c>
      <c r="F30">
        <v>0.29166666666666657</v>
      </c>
      <c r="G30">
        <v>0.47916666666666657</v>
      </c>
    </row>
    <row r="31" spans="1:7" x14ac:dyDescent="0.15">
      <c r="A31" t="str">
        <f>HYPERLINK("./new_k5/query_cmdrels_weight_analyze/0.6_0.1_0.3/au_147800.xlsx","au_147800")</f>
        <v>au_147800</v>
      </c>
      <c r="B31">
        <v>0</v>
      </c>
      <c r="C31">
        <v>0.33333333333333331</v>
      </c>
      <c r="D31">
        <v>0.1111111111111111</v>
      </c>
      <c r="E31">
        <v>0.33333333333333331</v>
      </c>
      <c r="F31">
        <v>0.1111111111111111</v>
      </c>
      <c r="G31">
        <v>0.33333333333333331</v>
      </c>
    </row>
    <row r="32" spans="1:7" x14ac:dyDescent="0.15">
      <c r="A32" t="str">
        <f>HYPERLINK("./new_k5/query_cmdrels_weight_analyze/0.6_0.1_0.3/au_148321.xlsx","au_148321")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0.40277777777777768</v>
      </c>
    </row>
    <row r="33" spans="1:7" x14ac:dyDescent="0.15">
      <c r="A33" t="str">
        <f>HYPERLINK("./new_k5/query_cmdrels_weight_analyze/0.6_0.1_0.3/au_148638.xlsx","au_148638")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HYPERLINK("./new_k5/query_cmdrels_weight_analyze/0.6_0.1_0.3/au_151049.xlsx","au_151049")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0.33333333333333331</v>
      </c>
      <c r="F34">
        <v>0.66666666666666663</v>
      </c>
      <c r="G34">
        <v>0.5</v>
      </c>
    </row>
    <row r="35" spans="1:7" x14ac:dyDescent="0.15">
      <c r="A35" t="str">
        <f>HYPERLINK("./new_k5/query_cmdrels_weight_analyze/0.6_0.1_0.3/au_151941.xlsx","au_151941")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HYPERLINK("./new_k5/query_cmdrels_weight_analyze/0.6_0.1_0.3/au_152297.xlsx","au_152297")</f>
        <v>au_152297</v>
      </c>
      <c r="B36">
        <v>0</v>
      </c>
      <c r="C36">
        <v>0</v>
      </c>
      <c r="D36">
        <v>7.1428571428571425E-2</v>
      </c>
      <c r="E36">
        <v>7.1428571428571425E-2</v>
      </c>
      <c r="F36">
        <v>7.1428571428571425E-2</v>
      </c>
      <c r="G36">
        <v>0.14285714285714279</v>
      </c>
    </row>
    <row r="37" spans="1:7" x14ac:dyDescent="0.15">
      <c r="A37" t="str">
        <f>HYPERLINK("./new_k5/query_cmdrels_weight_analyze/0.6_0.1_0.3/au_153976.xlsx","au_153976")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0.16666666666666671</v>
      </c>
      <c r="F37">
        <v>0.33333333333333331</v>
      </c>
      <c r="G37">
        <v>0.25</v>
      </c>
    </row>
    <row r="38" spans="1:7" x14ac:dyDescent="0.15">
      <c r="A38" t="str">
        <f>HYPERLINK("./new_k5/query_cmdrels_weight_analyze/0.6_0.1_0.3/au_154431.xlsx","au_154431")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HYPERLINK("./new_k5/query_cmdrels_weight_analyze/0.6_0.1_0.3/au_159708.xlsx","au_159708")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0.33333333333333331</v>
      </c>
      <c r="F39">
        <v>0.33333333333333331</v>
      </c>
      <c r="G39">
        <v>0.33333333333333331</v>
      </c>
    </row>
    <row r="40" spans="1:7" x14ac:dyDescent="0.15">
      <c r="A40" t="str">
        <f>HYPERLINK("./new_k5/query_cmdrels_weight_analyze/0.6_0.1_0.3/au_160869.xlsx","au_160869")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HYPERLINK("./new_k5/query_cmdrels_weight_analyze/0.6_0.1_0.3/au_161313.xlsx","au_161313")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</v>
      </c>
    </row>
    <row r="42" spans="1:7" x14ac:dyDescent="0.15">
      <c r="A42" t="str">
        <f>HYPERLINK("./new_k5/query_cmdrels_weight_analyze/0.6_0.1_0.3/au_162075.xlsx","au_162075")</f>
        <v>au_162075</v>
      </c>
      <c r="B42">
        <v>0.25</v>
      </c>
      <c r="C42">
        <v>0.25</v>
      </c>
      <c r="D42">
        <v>0.5</v>
      </c>
      <c r="E42">
        <v>0.41666666666666657</v>
      </c>
      <c r="F42">
        <v>0.5</v>
      </c>
      <c r="G42">
        <v>0.41666666666666657</v>
      </c>
    </row>
    <row r="43" spans="1:7" x14ac:dyDescent="0.15">
      <c r="A43" t="str">
        <f>HYPERLINK("./new_k5/query_cmdrels_weight_analyze/0.6_0.1_0.3/au_16277.xlsx","au_16277")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0.66666666666666663</v>
      </c>
    </row>
    <row r="44" spans="1:7" x14ac:dyDescent="0.15">
      <c r="A44" t="str">
        <f>HYPERLINK("./new_k5/query_cmdrels_weight_analyze/0.6_0.1_0.3/au_163155.xlsx","au_163155")</f>
        <v>au_163155</v>
      </c>
      <c r="B44">
        <v>0.125</v>
      </c>
      <c r="C44">
        <v>0.125</v>
      </c>
      <c r="D44">
        <v>0.375</v>
      </c>
      <c r="E44">
        <v>0.25</v>
      </c>
      <c r="F44">
        <v>0.5</v>
      </c>
      <c r="G44">
        <v>0.34375</v>
      </c>
    </row>
    <row r="45" spans="1:7" x14ac:dyDescent="0.15">
      <c r="A45" t="str">
        <f>HYPERLINK("./new_k5/query_cmdrels_weight_analyze/0.6_0.1_0.3/au_164473.xlsx","au_164473")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HYPERLINK("./new_k5/query_cmdrels_weight_analyze/0.6_0.1_0.3/au_16584.xlsx","au_16584")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9.0909090909090912E-2</v>
      </c>
      <c r="F46">
        <v>0.13636363636363641</v>
      </c>
      <c r="G46">
        <v>9.0909090909090912E-2</v>
      </c>
    </row>
    <row r="47" spans="1:7" x14ac:dyDescent="0.15">
      <c r="A47" t="str">
        <f>HYPERLINK("./new_k5/query_cmdrels_weight_analyze/0.6_0.1_0.3/au_166420.xlsx","au_166420")</f>
        <v>au_166420</v>
      </c>
      <c r="B47">
        <v>0.2</v>
      </c>
      <c r="C47">
        <v>0.2</v>
      </c>
      <c r="D47">
        <v>0.33333333333333331</v>
      </c>
      <c r="E47">
        <v>0.33333333333333331</v>
      </c>
      <c r="F47">
        <v>0.48333333333333328</v>
      </c>
      <c r="G47">
        <v>0.33333333333333331</v>
      </c>
    </row>
    <row r="48" spans="1:7" x14ac:dyDescent="0.15">
      <c r="A48" t="str">
        <f>HYPERLINK("./new_k5/query_cmdrels_weight_analyze/0.6_0.1_0.3/au_169473.xlsx","au_169473")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0.33333333333333331</v>
      </c>
      <c r="F48">
        <v>0.43333333333333329</v>
      </c>
      <c r="G48">
        <v>0.43333333333333329</v>
      </c>
    </row>
    <row r="49" spans="1:7" x14ac:dyDescent="0.15">
      <c r="A49" t="str">
        <f>HYPERLINK("./new_k5/query_cmdrels_weight_analyze/0.6_0.1_0.3/au_169516.xlsx","au_169516")</f>
        <v>au_169516</v>
      </c>
      <c r="B49">
        <v>0.25</v>
      </c>
      <c r="C49">
        <v>0.25</v>
      </c>
      <c r="D49">
        <v>0.25</v>
      </c>
      <c r="E49">
        <v>0.41666666666666657</v>
      </c>
      <c r="F49">
        <v>0.25</v>
      </c>
      <c r="G49">
        <v>0.41666666666666657</v>
      </c>
    </row>
    <row r="50" spans="1:7" x14ac:dyDescent="0.15">
      <c r="A50" t="str">
        <f>HYPERLINK("./new_k5/query_cmdrels_weight_analyze/0.6_0.1_0.3/au_174292.xlsx","au_174292")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HYPERLINK("./new_k5/query_cmdrels_weight_analyze/0.6_0.1_0.3/au_178481.xlsx","au_178481")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HYPERLINK("./new_k5/query_cmdrels_weight_analyze/0.6_0.1_0.3/au_180925.xlsx","au_180925")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HYPERLINK("./new_k5/query_cmdrels_weight_analyze/0.6_0.1_0.3/au_187888.xlsx","au_187888")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HYPERLINK("./new_k5/query_cmdrels_weight_analyze/0.6_0.1_0.3/au_191390.xlsx","au_191390")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HYPERLINK("./new_k5/query_cmdrels_weight_analyze/0.6_0.1_0.3/au_192798.xlsx","au_192798")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HYPERLINK("./new_k5/query_cmdrels_weight_analyze/0.6_0.1_0.3/au_201775.xlsx","au_201775")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0.55555555555555547</v>
      </c>
      <c r="F56">
        <v>0.66666666666666663</v>
      </c>
      <c r="G56">
        <v>0.75555555555555554</v>
      </c>
    </row>
    <row r="57" spans="1:7" x14ac:dyDescent="0.15">
      <c r="A57" t="str">
        <f>HYPERLINK("./new_k5/query_cmdrels_weight_analyze/0.6_0.1_0.3/au_204166.xlsx","au_204166")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HYPERLINK("./new_k5/query_cmdrels_weight_analyze/0.6_0.1_0.3/au_207447.xlsx","au_207447")</f>
        <v>au_207447</v>
      </c>
      <c r="B58">
        <v>0.33333333333333331</v>
      </c>
      <c r="C58">
        <v>0.33333333333333331</v>
      </c>
      <c r="D58">
        <v>0.33333333333333331</v>
      </c>
      <c r="E58">
        <v>0.33333333333333331</v>
      </c>
      <c r="F58">
        <v>0.33333333333333331</v>
      </c>
      <c r="G58">
        <v>0.46666666666666662</v>
      </c>
    </row>
    <row r="59" spans="1:7" x14ac:dyDescent="0.15">
      <c r="A59" t="str">
        <f>HYPERLINK("./new_k5/query_cmdrels_weight_analyze/0.6_0.1_0.3/au_210680.xlsx","au_210680")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HYPERLINK("./new_k5/query_cmdrels_weight_analyze/0.6_0.1_0.3/au_214246.xlsx","au_214246")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HYPERLINK("./new_k5/query_cmdrels_weight_analyze/0.6_0.1_0.3/au_214643.xlsx","au_214643")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HYPERLINK("./new_k5/query_cmdrels_weight_analyze/0.6_0.1_0.3/au_2194.xlsx","au_2194")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HYPERLINK("./new_k5/query_cmdrels_weight_analyze/0.6_0.1_0.3/au_221962.xlsx","au_221962")</f>
        <v>au_221962</v>
      </c>
      <c r="B63">
        <v>0</v>
      </c>
      <c r="C63">
        <v>0</v>
      </c>
      <c r="D63">
        <v>5.5555555555555552E-2</v>
      </c>
      <c r="E63">
        <v>5.5555555555555552E-2</v>
      </c>
      <c r="F63">
        <v>0.1388888888888889</v>
      </c>
      <c r="G63">
        <v>0.1222222222222222</v>
      </c>
    </row>
    <row r="64" spans="1:7" x14ac:dyDescent="0.15">
      <c r="A64" t="str">
        <f>HYPERLINK("./new_k5/query_cmdrels_weight_analyze/0.6_0.1_0.3/au_22608.xlsx","au_22608")</f>
        <v>au_22608</v>
      </c>
      <c r="B64">
        <v>0.33333333333333331</v>
      </c>
      <c r="C64">
        <v>0.33333333333333331</v>
      </c>
      <c r="D64">
        <v>0.33333333333333331</v>
      </c>
      <c r="E64">
        <v>0.33333333333333331</v>
      </c>
      <c r="F64">
        <v>0.33333333333333331</v>
      </c>
      <c r="G64">
        <v>0.5</v>
      </c>
    </row>
    <row r="65" spans="1:7" x14ac:dyDescent="0.15">
      <c r="A65" t="str">
        <f>HYPERLINK("./new_k5/query_cmdrels_weight_analyze/0.6_0.1_0.3/au_230698.xlsx","au_230698")</f>
        <v>au_230698</v>
      </c>
      <c r="B65">
        <v>0.125</v>
      </c>
      <c r="C65">
        <v>0.125</v>
      </c>
      <c r="D65">
        <v>0.25</v>
      </c>
      <c r="E65">
        <v>0.25</v>
      </c>
      <c r="F65">
        <v>0.32500000000000001</v>
      </c>
      <c r="G65">
        <v>0.34375</v>
      </c>
    </row>
    <row r="66" spans="1:7" x14ac:dyDescent="0.15">
      <c r="A66" t="str">
        <f>HYPERLINK("./new_k5/query_cmdrels_weight_analyze/0.6_0.1_0.3/au_232442.xlsx","au_232442")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HYPERLINK("./new_k5/query_cmdrels_weight_analyze/0.6_0.1_0.3/au_233378.xlsx","au_233378")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HYPERLINK("./new_k5/query_cmdrels_weight_analyze/0.6_0.1_0.3/au_24027.xlsx","au_24027")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HYPERLINK("./new_k5/query_cmdrels_weight_analyze/0.6_0.1_0.3/au_246647.xlsx","au_246647")</f>
        <v>au_246647</v>
      </c>
      <c r="B69">
        <v>0.125</v>
      </c>
      <c r="C69">
        <v>0.125</v>
      </c>
      <c r="D69">
        <v>0.375</v>
      </c>
      <c r="E69">
        <v>0.25</v>
      </c>
      <c r="F69">
        <v>0.47499999999999998</v>
      </c>
      <c r="G69">
        <v>0.32500000000000001</v>
      </c>
    </row>
    <row r="70" spans="1:7" x14ac:dyDescent="0.15">
      <c r="A70" t="str">
        <f>HYPERLINK("./new_k5/query_cmdrels_weight_analyze/0.6_0.1_0.3/au_254424.xlsx","au_254424")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HYPERLINK("./new_k5/query_cmdrels_weight_analyze/0.6_0.1_0.3/au_255890.xlsx","au_255890")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HYPERLINK("./new_k5/query_cmdrels_weight_analyze/0.6_0.1_0.3/au_257248.xlsx","au_257248")</f>
        <v>au_257248</v>
      </c>
      <c r="B72">
        <v>0</v>
      </c>
      <c r="C72">
        <v>0.14285714285714279</v>
      </c>
      <c r="D72">
        <v>0.16666666666666671</v>
      </c>
      <c r="E72">
        <v>0.23809523809523811</v>
      </c>
      <c r="F72">
        <v>0.25238095238095237</v>
      </c>
      <c r="G72">
        <v>0.32380952380952382</v>
      </c>
    </row>
    <row r="73" spans="1:7" x14ac:dyDescent="0.15">
      <c r="A73" t="str">
        <f>HYPERLINK("./new_k5/query_cmdrels_weight_analyze/0.6_0.1_0.3/au_259354.xlsx","au_259354")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0.42857142857142849</v>
      </c>
    </row>
    <row r="74" spans="1:7" x14ac:dyDescent="0.15">
      <c r="A74" t="str">
        <f>HYPERLINK("./new_k5/query_cmdrels_weight_analyze/0.6_0.1_0.3/au_263378.xlsx","au_263378")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0.625</v>
      </c>
    </row>
    <row r="75" spans="1:7" x14ac:dyDescent="0.15">
      <c r="A75" t="str">
        <f>HYPERLINK("./new_k5/query_cmdrels_weight_analyze/0.6_0.1_0.3/au_264215.xlsx","au_264215")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HYPERLINK("./new_k5/query_cmdrels_weight_analyze/0.6_0.1_0.3/au_265176.xlsx","au_265176")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HYPERLINK("./new_k5/query_cmdrels_weight_analyze/0.6_0.1_0.3/au_275704.xlsx","au_275704")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HYPERLINK("./new_k5/query_cmdrels_weight_analyze/0.6_0.1_0.3/au_276669.xlsx","au_276669")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HYPERLINK("./new_k5/query_cmdrels_weight_analyze/0.6_0.1_0.3/au_277565.xlsx","au_277565")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HYPERLINK("./new_k5/query_cmdrels_weight_analyze/0.6_0.1_0.3/au_278403.xlsx","au_278403")</f>
        <v>au_278403</v>
      </c>
      <c r="B80">
        <v>0</v>
      </c>
      <c r="C80">
        <v>0</v>
      </c>
      <c r="D80">
        <v>8.3333333333333329E-2</v>
      </c>
      <c r="E80">
        <v>8.3333333333333329E-2</v>
      </c>
      <c r="F80">
        <v>0.20833333333333329</v>
      </c>
      <c r="G80">
        <v>0.20833333333333329</v>
      </c>
    </row>
    <row r="81" spans="1:7" x14ac:dyDescent="0.15">
      <c r="A81" t="str">
        <f>HYPERLINK("./new_k5/query_cmdrels_weight_analyze/0.6_0.1_0.3/au_28039.xlsx","au_28039")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HYPERLINK("./new_k5/query_cmdrels_weight_analyze/0.6_0.1_0.3/au_281509.xlsx","au_281509")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HYPERLINK("./new_k5/query_cmdrels_weight_analyze/0.6_0.1_0.3/au_282806.xlsx","au_282806")</f>
        <v>au_282806</v>
      </c>
      <c r="B83">
        <v>0</v>
      </c>
      <c r="C83">
        <v>0</v>
      </c>
      <c r="D83">
        <v>0.38888888888888878</v>
      </c>
      <c r="E83">
        <v>0.1111111111111111</v>
      </c>
      <c r="F83">
        <v>0.38888888888888878</v>
      </c>
      <c r="G83">
        <v>0.24444444444444449</v>
      </c>
    </row>
    <row r="84" spans="1:7" x14ac:dyDescent="0.15">
      <c r="A84" t="str">
        <f>HYPERLINK("./new_k5/query_cmdrels_weight_analyze/0.6_0.1_0.3/au_283559.xlsx","au_283559")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HYPERLINK("./new_k5/query_cmdrels_weight_analyze/0.6_0.1_0.3/au_285539.xlsx","au_285539")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HYPERLINK("./new_k5/query_cmdrels_weight_analyze/0.6_0.1_0.3/au_287532.xlsx","au_287532")</f>
        <v>au_287532</v>
      </c>
      <c r="B86">
        <v>0</v>
      </c>
      <c r="C86">
        <v>0</v>
      </c>
      <c r="D86">
        <v>0</v>
      </c>
      <c r="E86">
        <v>8.3333333333333329E-2</v>
      </c>
      <c r="F86">
        <v>0</v>
      </c>
      <c r="G86">
        <v>8.3333333333333329E-2</v>
      </c>
    </row>
    <row r="87" spans="1:7" x14ac:dyDescent="0.15">
      <c r="A87" t="str">
        <f>HYPERLINK("./new_k5/query_cmdrels_weight_analyze/0.6_0.1_0.3/au_294257.xlsx","au_294257")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HYPERLINK("./new_k5/query_cmdrels_weight_analyze/0.6_0.1_0.3/au_296155.xlsx","au_296155")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HYPERLINK("./new_k5/query_cmdrels_weight_analyze/0.6_0.1_0.3/au_299975.xlsx","au_299975")</f>
        <v>au_299975</v>
      </c>
      <c r="B89">
        <v>0.25</v>
      </c>
      <c r="C89">
        <v>0</v>
      </c>
      <c r="D89">
        <v>0.5</v>
      </c>
      <c r="E89">
        <v>8.3333333333333329E-2</v>
      </c>
      <c r="F89">
        <v>0.6875</v>
      </c>
      <c r="G89">
        <v>8.3333333333333329E-2</v>
      </c>
    </row>
    <row r="90" spans="1:7" x14ac:dyDescent="0.15">
      <c r="A90" t="str">
        <f>HYPERLINK("./new_k5/query_cmdrels_weight_analyze/0.6_0.1_0.3/au_301096.xlsx","au_301096")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HYPERLINK("./new_k5/query_cmdrels_weight_analyze/0.6_0.1_0.3/au_303593.xlsx","au_303593")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HYPERLINK("./new_k5/query_cmdrels_weight_analyze/0.6_0.1_0.3/au_303849.xlsx","au_303849")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HYPERLINK("./new_k5/query_cmdrels_weight_analyze/0.6_0.1_0.3/au_307541.xlsx","au_307541")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HYPERLINK("./new_k5/query_cmdrels_weight_analyze/0.6_0.1_0.3/au_307688.xlsx","au_307688")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HYPERLINK("./new_k5/query_cmdrels_weight_analyze/0.6_0.1_0.3/au_309047.xlsx","au_309047")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HYPERLINK("./new_k5/query_cmdrels_weight_analyze/0.6_0.1_0.3/au_311558.xlsx","au_311558")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0.60416666666666663</v>
      </c>
    </row>
    <row r="97" spans="1:7" x14ac:dyDescent="0.15">
      <c r="A97" t="str">
        <f>HYPERLINK("./new_k5/query_cmdrels_weight_analyze/0.6_0.1_0.3/au_318973.xlsx","au_318973")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HYPERLINK("./new_k5/query_cmdrels_weight_analyze/0.6_0.1_0.3/au_3205.xlsx","au_3205")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HYPERLINK("./new_k5/query_cmdrels_weight_analyze/0.6_0.1_0.3/au_323131.xlsx","au_323131")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0.55555555555555547</v>
      </c>
      <c r="F99">
        <v>0.33333333333333331</v>
      </c>
      <c r="G99">
        <v>0.55555555555555547</v>
      </c>
    </row>
    <row r="100" spans="1:7" x14ac:dyDescent="0.15">
      <c r="A100" t="str">
        <f>HYPERLINK("./new_k5/query_cmdrels_weight_analyze/0.6_0.1_0.3/au_323392.xlsx","au_323392")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HYPERLINK("./new_k5/query_cmdrels_weight_analyze/0.6_0.1_0.3/au_325368.xlsx","au_325368")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HYPERLINK("./new_k5/query_cmdrels_weight_analyze/0.6_0.1_0.3/au_328162.xlsx","au_328162")</f>
        <v>au_328162</v>
      </c>
      <c r="B102">
        <v>0.33333333333333331</v>
      </c>
      <c r="C102">
        <v>0.33333333333333331</v>
      </c>
      <c r="D102">
        <v>1</v>
      </c>
      <c r="E102">
        <v>0.66666666666666663</v>
      </c>
      <c r="F102">
        <v>1</v>
      </c>
      <c r="G102">
        <v>0.66666666666666663</v>
      </c>
    </row>
    <row r="103" spans="1:7" x14ac:dyDescent="0.15">
      <c r="A103" t="str">
        <f>HYPERLINK("./new_k5/query_cmdrels_weight_analyze/0.6_0.1_0.3/au_330148.xlsx","au_330148")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HYPERLINK("./new_k5/query_cmdrels_weight_analyze/0.6_0.1_0.3/au_332315.xlsx","au_332315")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HYPERLINK("./new_k5/query_cmdrels_weight_analyze/0.6_0.1_0.3/au_334081.xlsx","au_334081")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HYPERLINK("./new_k5/query_cmdrels_weight_analyze/0.6_0.1_0.3/au_34077.xlsx","au_34077")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0.5</v>
      </c>
      <c r="F106">
        <v>0.33333333333333331</v>
      </c>
      <c r="G106">
        <v>0.6333333333333333</v>
      </c>
    </row>
    <row r="107" spans="1:7" x14ac:dyDescent="0.15">
      <c r="A107" t="str">
        <f>HYPERLINK("./new_k5/query_cmdrels_weight_analyze/0.6_0.1_0.3/au_341428.xlsx","au_341428")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0.39285714285714279</v>
      </c>
    </row>
    <row r="108" spans="1:7" x14ac:dyDescent="0.15">
      <c r="A108" t="str">
        <f>HYPERLINK("./new_k5/query_cmdrels_weight_analyze/0.6_0.1_0.3/au_341584.xlsx","au_341584")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HYPERLINK("./new_k5/query_cmdrels_weight_analyze/0.6_0.1_0.3/au_346864.xlsx","au_346864")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0.2857142857142857</v>
      </c>
      <c r="F109">
        <v>0.23809523809523811</v>
      </c>
      <c r="G109">
        <v>0.39285714285714279</v>
      </c>
    </row>
    <row r="110" spans="1:7" x14ac:dyDescent="0.15">
      <c r="A110" t="str">
        <f>HYPERLINK("./new_k5/query_cmdrels_weight_analyze/0.6_0.1_0.3/au_351765.xlsx","au_351765")</f>
        <v>au_351765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0.1</v>
      </c>
    </row>
    <row r="111" spans="1:7" x14ac:dyDescent="0.15">
      <c r="A111" t="str">
        <f>HYPERLINK("./new_k5/query_cmdrels_weight_analyze/0.6_0.1_0.3/au_35922.xlsx","au_35922")</f>
        <v>au_35922</v>
      </c>
      <c r="B111">
        <v>0</v>
      </c>
      <c r="C111">
        <v>0</v>
      </c>
      <c r="D111">
        <v>0</v>
      </c>
      <c r="E111">
        <v>0.25</v>
      </c>
      <c r="F111">
        <v>0</v>
      </c>
      <c r="G111">
        <v>0.25</v>
      </c>
    </row>
    <row r="112" spans="1:7" x14ac:dyDescent="0.15">
      <c r="A112" t="str">
        <f>HYPERLINK("./new_k5/query_cmdrels_weight_analyze/0.6_0.1_0.3/au_359856.xlsx","au_359856")</f>
        <v>au_359856</v>
      </c>
      <c r="B112">
        <v>0.25</v>
      </c>
      <c r="C112">
        <v>0.25</v>
      </c>
      <c r="D112">
        <v>0.75</v>
      </c>
      <c r="E112">
        <v>0.5</v>
      </c>
      <c r="F112">
        <v>0.95</v>
      </c>
      <c r="G112">
        <v>0.5</v>
      </c>
    </row>
    <row r="113" spans="1:7" x14ac:dyDescent="0.15">
      <c r="A113" t="str">
        <f>HYPERLINK("./new_k5/query_cmdrels_weight_analyze/0.6_0.1_0.3/au_360423.xlsx","au_360423")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HYPERLINK("./new_k5/query_cmdrels_weight_analyze/0.6_0.1_0.3/au_36287.xlsx","au_36287")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HYPERLINK("./new_k5/query_cmdrels_weight_analyze/0.6_0.1_0.3/au_366742.xlsx","au_366742")</f>
        <v>au_366742</v>
      </c>
      <c r="B115">
        <v>0</v>
      </c>
      <c r="C115">
        <v>0</v>
      </c>
      <c r="D115">
        <v>0</v>
      </c>
      <c r="E115">
        <v>8.3333333333333329E-2</v>
      </c>
      <c r="F115">
        <v>0</v>
      </c>
      <c r="G115">
        <v>0.20833333333333329</v>
      </c>
    </row>
    <row r="116" spans="1:7" x14ac:dyDescent="0.15">
      <c r="A116" t="str">
        <f>HYPERLINK("./new_k5/query_cmdrels_weight_analyze/0.6_0.1_0.3/au_377937.xlsx","au_377937")</f>
        <v>au_377937</v>
      </c>
      <c r="B116">
        <v>0.25</v>
      </c>
      <c r="C116">
        <v>0.25</v>
      </c>
      <c r="D116">
        <v>0.5</v>
      </c>
      <c r="E116">
        <v>0.75</v>
      </c>
      <c r="F116">
        <v>0.5</v>
      </c>
      <c r="G116">
        <v>0.75</v>
      </c>
    </row>
    <row r="117" spans="1:7" x14ac:dyDescent="0.15">
      <c r="A117" t="str">
        <f>HYPERLINK("./new_k5/query_cmdrels_weight_analyze/0.6_0.1_0.3/au_383997.xlsx","au_383997")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0.42857142857142849</v>
      </c>
      <c r="F117">
        <v>0.2857142857142857</v>
      </c>
      <c r="G117">
        <v>0.54285714285714282</v>
      </c>
    </row>
    <row r="118" spans="1:7" x14ac:dyDescent="0.15">
      <c r="A118" t="str">
        <f>HYPERLINK("./new_k5/query_cmdrels_weight_analyze/0.6_0.1_0.3/au_3883.xlsx","au_3883")</f>
        <v>au_3883</v>
      </c>
      <c r="B118">
        <v>0.25</v>
      </c>
      <c r="C118">
        <v>0.25</v>
      </c>
      <c r="D118">
        <v>0.25</v>
      </c>
      <c r="E118">
        <v>0.5</v>
      </c>
      <c r="F118">
        <v>0.375</v>
      </c>
      <c r="G118">
        <v>0.65</v>
      </c>
    </row>
    <row r="119" spans="1:7" x14ac:dyDescent="0.15">
      <c r="A119" t="str">
        <f>HYPERLINK("./new_k5/query_cmdrels_weight_analyze/0.6_0.1_0.3/au_396883.xlsx","au_396883")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HYPERLINK("./new_k5/query_cmdrels_weight_analyze/0.6_0.1_0.3/au_39760.xlsx","au_39760")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HYPERLINK("./new_k5/query_cmdrels_weight_analyze/0.6_0.1_0.3/au_398818.xlsx","au_398818")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HYPERLINK("./new_k5/query_cmdrels_weight_analyze/0.6_0.1_0.3/au_400807.xlsx","au_400807")</f>
        <v>au_400807</v>
      </c>
      <c r="B122">
        <v>0</v>
      </c>
      <c r="C122">
        <v>0.33333333333333331</v>
      </c>
      <c r="D122">
        <v>0.16666666666666671</v>
      </c>
      <c r="E122">
        <v>0.55555555555555547</v>
      </c>
      <c r="F122">
        <v>0.16666666666666671</v>
      </c>
      <c r="G122">
        <v>0.80555555555555547</v>
      </c>
    </row>
    <row r="123" spans="1:7" x14ac:dyDescent="0.15">
      <c r="A123" t="str">
        <f>HYPERLINK("./new_k5/query_cmdrels_weight_analyze/0.6_0.1_0.3/au_408611.xlsx","au_408611")</f>
        <v>au_408611</v>
      </c>
      <c r="B123">
        <v>0.33333333333333331</v>
      </c>
      <c r="C123">
        <v>0</v>
      </c>
      <c r="D123">
        <v>0.33333333333333331</v>
      </c>
      <c r="E123">
        <v>0.16666666666666671</v>
      </c>
      <c r="F123">
        <v>0.33333333333333331</v>
      </c>
      <c r="G123">
        <v>0.16666666666666671</v>
      </c>
    </row>
    <row r="124" spans="1:7" x14ac:dyDescent="0.15">
      <c r="A124" t="str">
        <f>HYPERLINK("./new_k5/query_cmdrels_weight_analyze/0.6_0.1_0.3/au_414737.xlsx","au_414737")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HYPERLINK("./new_k5/query_cmdrels_weight_analyze/0.6_0.1_0.3/au_420722.xlsx","au_420722")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0.55555555555555547</v>
      </c>
      <c r="F125">
        <v>0.66666666666666663</v>
      </c>
      <c r="G125">
        <v>0.55555555555555547</v>
      </c>
    </row>
    <row r="126" spans="1:7" x14ac:dyDescent="0.15">
      <c r="A126" t="str">
        <f>HYPERLINK("./new_k5/query_cmdrels_weight_analyze/0.6_0.1_0.3/au_423942.xlsx","au_423942")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0.55555555555555547</v>
      </c>
      <c r="F126">
        <v>0.8666666666666667</v>
      </c>
      <c r="G126">
        <v>0.55555555555555547</v>
      </c>
    </row>
    <row r="127" spans="1:7" x14ac:dyDescent="0.15">
      <c r="A127" t="str">
        <f>HYPERLINK("./new_k5/query_cmdrels_weight_analyze/0.6_0.1_0.3/au_430382.xlsx","au_430382")</f>
        <v>au_430382</v>
      </c>
      <c r="B127">
        <v>0</v>
      </c>
      <c r="C127">
        <v>0.25</v>
      </c>
      <c r="D127">
        <v>0.29166666666666657</v>
      </c>
      <c r="E127">
        <v>0.41666666666666657</v>
      </c>
      <c r="F127">
        <v>0.29166666666666657</v>
      </c>
      <c r="G127">
        <v>0.41666666666666657</v>
      </c>
    </row>
    <row r="128" spans="1:7" x14ac:dyDescent="0.15">
      <c r="A128" t="str">
        <f>HYPERLINK("./new_k5/query_cmdrels_weight_analyze/0.6_0.1_0.3/au_432836.xlsx","au_432836")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HYPERLINK("./new_k5/query_cmdrels_weight_analyze/0.6_0.1_0.3/au_440326.xlsx","au_440326")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HYPERLINK("./new_k5/query_cmdrels_weight_analyze/0.6_0.1_0.3/au_442914.xlsx","au_442914")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HYPERLINK("./new_k5/query_cmdrels_weight_analyze/0.6_0.1_0.3/au_443227.xlsx","au_443227")</f>
        <v>au_443227</v>
      </c>
      <c r="B131">
        <v>0.5</v>
      </c>
      <c r="C131">
        <v>0</v>
      </c>
      <c r="D131">
        <v>0.5</v>
      </c>
      <c r="E131">
        <v>0.25</v>
      </c>
      <c r="F131">
        <v>0.5</v>
      </c>
      <c r="G131">
        <v>0.25</v>
      </c>
    </row>
    <row r="132" spans="1:7" x14ac:dyDescent="0.15">
      <c r="A132" t="str">
        <f>HYPERLINK("./new_k5/query_cmdrels_weight_analyze/0.6_0.1_0.3/au_44534.xlsx","au_44534")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HYPERLINK("./new_k5/query_cmdrels_weight_analyze/0.6_0.1_0.3/au_451805.xlsx","au_451805")</f>
        <v>au_451805</v>
      </c>
      <c r="B133">
        <v>0.33333333333333331</v>
      </c>
      <c r="C133">
        <v>0</v>
      </c>
      <c r="D133">
        <v>0.33333333333333331</v>
      </c>
      <c r="E133">
        <v>0.1111111111111111</v>
      </c>
      <c r="F133">
        <v>0.33333333333333331</v>
      </c>
      <c r="G133">
        <v>0.1111111111111111</v>
      </c>
    </row>
    <row r="134" spans="1:7" x14ac:dyDescent="0.15">
      <c r="A134" t="str">
        <f>HYPERLINK("./new_k5/query_cmdrels_weight_analyze/0.6_0.1_0.3/au_464264.xlsx","au_464264")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0.16666666666666671</v>
      </c>
    </row>
    <row r="135" spans="1:7" x14ac:dyDescent="0.15">
      <c r="A135" t="str">
        <f>HYPERLINK("./new_k5/query_cmdrels_weight_analyze/0.6_0.1_0.3/au_468808.xlsx","au_468808")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HYPERLINK("./new_k5/query_cmdrels_weight_analyze/0.6_0.1_0.3/au_469143.xlsx","au_469143")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HYPERLINK("./new_k5/query_cmdrels_weight_analyze/0.6_0.1_0.3/au_470237.xlsx","au_470237")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HYPERLINK("./new_k5/query_cmdrels_weight_analyze/0.6_0.1_0.3/au_473037.xlsx","au_473037")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</v>
      </c>
    </row>
    <row r="139" spans="1:7" x14ac:dyDescent="0.15">
      <c r="A139" t="str">
        <f>HYPERLINK("./new_k5/query_cmdrels_weight_analyze/0.6_0.1_0.3/au_48362.xlsx","au_48362")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HYPERLINK("./new_k5/query_cmdrels_weight_analyze/0.6_0.1_0.3/au_488435.xlsx","au_488435")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HYPERLINK("./new_k5/query_cmdrels_weight_analyze/0.6_0.1_0.3/au_493826.xlsx","au_493826")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HYPERLINK("./new_k5/query_cmdrels_weight_analyze/0.6_0.1_0.3/au_502110.xlsx","au_502110")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HYPERLINK("./new_k5/query_cmdrels_weight_analyze/0.6_0.1_0.3/au_50344.xlsx","au_50344")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HYPERLINK("./new_k5/query_cmdrels_weight_analyze/0.6_0.1_0.3/au_511467.xlsx","au_511467")</f>
        <v>au_511467</v>
      </c>
      <c r="B144">
        <v>0</v>
      </c>
      <c r="C144">
        <v>0.16666666666666671</v>
      </c>
      <c r="D144">
        <v>0.19444444444444439</v>
      </c>
      <c r="E144">
        <v>0.16666666666666671</v>
      </c>
      <c r="F144">
        <v>0.19444444444444439</v>
      </c>
      <c r="G144">
        <v>0.16666666666666671</v>
      </c>
    </row>
    <row r="145" spans="1:7" x14ac:dyDescent="0.15">
      <c r="A145" t="str">
        <f>HYPERLINK("./new_k5/query_cmdrels_weight_analyze/0.6_0.1_0.3/au_513046.xlsx","au_513046")</f>
        <v>au_513046</v>
      </c>
      <c r="B145">
        <v>0.25</v>
      </c>
      <c r="C145">
        <v>0</v>
      </c>
      <c r="D145">
        <v>0.5</v>
      </c>
      <c r="E145">
        <v>0.29166666666666657</v>
      </c>
      <c r="F145">
        <v>0.5</v>
      </c>
      <c r="G145">
        <v>0.44166666666666671</v>
      </c>
    </row>
    <row r="146" spans="1:7" x14ac:dyDescent="0.15">
      <c r="A146" t="str">
        <f>HYPERLINK("./new_k5/query_cmdrels_weight_analyze/0.6_0.1_0.3/au_517354.xlsx","au_517354")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0.14285714285714279</v>
      </c>
      <c r="F146">
        <v>0.2142857142857143</v>
      </c>
      <c r="G146">
        <v>0.3</v>
      </c>
    </row>
    <row r="147" spans="1:7" x14ac:dyDescent="0.15">
      <c r="A147" t="str">
        <f>HYPERLINK("./new_k5/query_cmdrels_weight_analyze/0.6_0.1_0.3/au_522431.xlsx","au_522431")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0.35333333333333328</v>
      </c>
    </row>
    <row r="148" spans="1:7" x14ac:dyDescent="0.15">
      <c r="A148" t="str">
        <f>HYPERLINK("./new_k5/query_cmdrels_weight_analyze/0.6_0.1_0.3/au_52773.xlsx","au_52773")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0.04</v>
      </c>
    </row>
    <row r="149" spans="1:7" x14ac:dyDescent="0.15">
      <c r="A149" t="str">
        <f>HYPERLINK("./new_k5/query_cmdrels_weight_analyze/0.6_0.1_0.3/au_528411.xlsx","au_528411")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HYPERLINK("./new_k5/query_cmdrels_weight_analyze/0.6_0.1_0.3/au_53263.xlsx","au_53263")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0.75</v>
      </c>
    </row>
    <row r="151" spans="1:7" x14ac:dyDescent="0.15">
      <c r="A151" t="str">
        <f>HYPERLINK("./new_k5/query_cmdrels_weight_analyze/0.6_0.1_0.3/au_53444.xlsx","au_53444")</f>
        <v>au_53444</v>
      </c>
      <c r="B151">
        <v>0.5</v>
      </c>
      <c r="C151">
        <v>0</v>
      </c>
      <c r="D151">
        <v>0.5</v>
      </c>
      <c r="E151">
        <v>0</v>
      </c>
      <c r="F151">
        <v>0.5</v>
      </c>
      <c r="G151">
        <v>0</v>
      </c>
    </row>
    <row r="152" spans="1:7" x14ac:dyDescent="0.15">
      <c r="A152" t="str">
        <f>HYPERLINK("./new_k5/query_cmdrels_weight_analyze/0.6_0.1_0.3/au_538208.xlsx","au_538208")</f>
        <v>au_538208</v>
      </c>
      <c r="B152">
        <v>0.125</v>
      </c>
      <c r="C152">
        <v>0.125</v>
      </c>
      <c r="D152">
        <v>0.375</v>
      </c>
      <c r="E152">
        <v>0.375</v>
      </c>
      <c r="F152">
        <v>0.5</v>
      </c>
      <c r="G152">
        <v>0.5</v>
      </c>
    </row>
    <row r="153" spans="1:7" x14ac:dyDescent="0.15">
      <c r="A153" t="str">
        <f>HYPERLINK("./new_k5/query_cmdrels_weight_analyze/0.6_0.1_0.3/au_53822.xlsx","au_53822")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HYPERLINK("./new_k5/query_cmdrels_weight_analyze/0.6_0.1_0.3/au_539243.xlsx","au_539243")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0.33333333333333331</v>
      </c>
    </row>
    <row r="155" spans="1:7" x14ac:dyDescent="0.15">
      <c r="A155" t="str">
        <f>HYPERLINK("./new_k5/query_cmdrels_weight_analyze/0.6_0.1_0.3/au_558280.xlsx","au_558280")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HYPERLINK("./new_k5/query_cmdrels_weight_analyze/0.6_0.1_0.3/au_558669.xlsx","au_558669")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HYPERLINK("./new_k5/query_cmdrels_weight_analyze/0.6_0.1_0.3/au_55868.xlsx","au_55868")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HYPERLINK("./new_k5/query_cmdrels_weight_analyze/0.6_0.1_0.3/au_561.xlsx","au_561")</f>
        <v>au_561</v>
      </c>
      <c r="B158">
        <v>0.25</v>
      </c>
      <c r="C158">
        <v>0.25</v>
      </c>
      <c r="D158">
        <v>0.25</v>
      </c>
      <c r="E158">
        <v>0.41666666666666657</v>
      </c>
      <c r="F158">
        <v>0.25</v>
      </c>
      <c r="G158">
        <v>0.41666666666666657</v>
      </c>
    </row>
    <row r="159" spans="1:7" x14ac:dyDescent="0.15">
      <c r="A159" t="str">
        <f>HYPERLINK("./new_k5/query_cmdrels_weight_analyze/0.6_0.1_0.3/au_564567.xlsx","au_564567")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HYPERLINK("./new_k5/query_cmdrels_weight_analyze/0.6_0.1_0.3/au_57994.xlsx","au_57994")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0.54285714285714282</v>
      </c>
    </row>
    <row r="161" spans="1:7" x14ac:dyDescent="0.15">
      <c r="A161" t="str">
        <f>HYPERLINK("./new_k5/query_cmdrels_weight_analyze/0.6_0.1_0.3/au_589210.xlsx","au_589210")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0.375</v>
      </c>
    </row>
    <row r="162" spans="1:7" x14ac:dyDescent="0.15">
      <c r="A162" t="str">
        <f>HYPERLINK("./new_k5/query_cmdrels_weight_analyze/0.6_0.1_0.3/au_5911.xlsx","au_5911")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HYPERLINK("./new_k5/query_cmdrels_weight_analyze/0.6_0.1_0.3/au_59356.xlsx","au_59356")</f>
        <v>au_59356</v>
      </c>
      <c r="B163">
        <v>0</v>
      </c>
      <c r="C163">
        <v>0</v>
      </c>
      <c r="D163">
        <v>0.16666666666666671</v>
      </c>
      <c r="E163">
        <v>0.16666666666666671</v>
      </c>
      <c r="F163">
        <v>0.16666666666666671</v>
      </c>
      <c r="G163">
        <v>0.16666666666666671</v>
      </c>
    </row>
    <row r="164" spans="1:7" x14ac:dyDescent="0.15">
      <c r="A164" t="str">
        <f>HYPERLINK("./new_k5/query_cmdrels_weight_analyze/0.6_0.1_0.3/au_609850.xlsx","au_609850")</f>
        <v>au_609850</v>
      </c>
      <c r="B164">
        <v>0.5</v>
      </c>
      <c r="C164">
        <v>0</v>
      </c>
      <c r="D164">
        <v>0.5</v>
      </c>
      <c r="E164">
        <v>0.16666666666666671</v>
      </c>
      <c r="F164">
        <v>0.5</v>
      </c>
      <c r="G164">
        <v>0.16666666666666671</v>
      </c>
    </row>
    <row r="165" spans="1:7" x14ac:dyDescent="0.15">
      <c r="A165" t="str">
        <f>HYPERLINK("./new_k5/query_cmdrels_weight_analyze/0.6_0.1_0.3/au_61408.xlsx","au_61408")</f>
        <v>au_61408</v>
      </c>
      <c r="B165">
        <v>0</v>
      </c>
      <c r="C165">
        <v>0.33333333333333331</v>
      </c>
      <c r="D165">
        <v>0.16666666666666671</v>
      </c>
      <c r="E165">
        <v>0.55555555555555547</v>
      </c>
      <c r="F165">
        <v>0.16666666666666671</v>
      </c>
      <c r="G165">
        <v>0.55555555555555547</v>
      </c>
    </row>
    <row r="166" spans="1:7" x14ac:dyDescent="0.15">
      <c r="A166" t="str">
        <f>HYPERLINK("./new_k5/query_cmdrels_weight_analyze/0.6_0.1_0.3/au_617850.xlsx","au_617850")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HYPERLINK("./new_k5/query_cmdrels_weight_analyze/0.6_0.1_0.3/au_62073.xlsx","au_62073")</f>
        <v>au_62073</v>
      </c>
      <c r="B167">
        <v>0</v>
      </c>
      <c r="C167">
        <v>0.2</v>
      </c>
      <c r="D167">
        <v>0.23333333333333331</v>
      </c>
      <c r="E167">
        <v>0.4</v>
      </c>
      <c r="F167">
        <v>0.23333333333333331</v>
      </c>
      <c r="G167">
        <v>0.71</v>
      </c>
    </row>
    <row r="168" spans="1:7" x14ac:dyDescent="0.15">
      <c r="A168" t="str">
        <f>HYPERLINK("./new_k5/query_cmdrels_weight_analyze/0.6_0.1_0.3/au_620930.xlsx","au_620930")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0.48333333333333328</v>
      </c>
    </row>
    <row r="169" spans="1:7" x14ac:dyDescent="0.15">
      <c r="A169" t="str">
        <f>HYPERLINK("./new_k5/query_cmdrels_weight_analyze/0.6_0.1_0.3/au_62492.xlsx","au_62492")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HYPERLINK("./new_k5/query_cmdrels_weight_analyze/0.6_0.1_0.3/au_626078.xlsx","au_626078")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HYPERLINK("./new_k5/query_cmdrels_weight_analyze/0.6_0.1_0.3/au_636944.xlsx","au_636944")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HYPERLINK("./new_k5/query_cmdrels_weight_analyze/0.6_0.1_0.3/au_648603.xlsx","au_648603")</f>
        <v>au_648603</v>
      </c>
      <c r="B172">
        <v>0.25</v>
      </c>
      <c r="C172">
        <v>0.25</v>
      </c>
      <c r="D172">
        <v>0.25</v>
      </c>
      <c r="E172">
        <v>0.41666666666666657</v>
      </c>
      <c r="F172">
        <v>0.25</v>
      </c>
      <c r="G172">
        <v>0.56666666666666665</v>
      </c>
    </row>
    <row r="173" spans="1:7" x14ac:dyDescent="0.15">
      <c r="A173" t="str">
        <f>HYPERLINK("./new_k5/query_cmdrels_weight_analyze/0.6_0.1_0.3/au_65331.xlsx","au_65331")</f>
        <v>au_65331</v>
      </c>
      <c r="B173">
        <v>0</v>
      </c>
      <c r="C173">
        <v>0</v>
      </c>
      <c r="D173">
        <v>8.3333333333333329E-2</v>
      </c>
      <c r="E173">
        <v>0.19444444444444439</v>
      </c>
      <c r="F173">
        <v>0.16666666666666671</v>
      </c>
      <c r="G173">
        <v>0.31944444444444442</v>
      </c>
    </row>
    <row r="174" spans="1:7" x14ac:dyDescent="0.15">
      <c r="A174" t="str">
        <f>HYPERLINK("./new_k5/query_cmdrels_weight_analyze/0.6_0.1_0.3/au_66000.xlsx","au_66000")</f>
        <v>au_66000</v>
      </c>
      <c r="B174">
        <v>0</v>
      </c>
      <c r="C174">
        <v>0.2</v>
      </c>
      <c r="D174">
        <v>0</v>
      </c>
      <c r="E174">
        <v>0.6</v>
      </c>
      <c r="F174">
        <v>0</v>
      </c>
      <c r="G174">
        <v>0.76</v>
      </c>
    </row>
    <row r="175" spans="1:7" x14ac:dyDescent="0.15">
      <c r="A175" t="str">
        <f>HYPERLINK("./new_k5/query_cmdrels_weight_analyze/0.6_0.1_0.3/au_660846.xlsx","au_660846")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HYPERLINK("./new_k5/query_cmdrels_weight_analyze/0.6_0.1_0.3/au_662935.xlsx","au_662935")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0.25</v>
      </c>
    </row>
    <row r="177" spans="1:7" x14ac:dyDescent="0.15">
      <c r="A177" t="str">
        <f>HYPERLINK("./new_k5/query_cmdrels_weight_analyze/0.6_0.1_0.3/au_67663.xlsx","au_67663")</f>
        <v>au_67663</v>
      </c>
      <c r="B177">
        <v>0</v>
      </c>
      <c r="C177">
        <v>0.25</v>
      </c>
      <c r="D177">
        <v>0.29166666666666657</v>
      </c>
      <c r="E177">
        <v>0.5</v>
      </c>
      <c r="F177">
        <v>0.29166666666666657</v>
      </c>
      <c r="G177">
        <v>0.5</v>
      </c>
    </row>
    <row r="178" spans="1:7" x14ac:dyDescent="0.15">
      <c r="A178" t="str">
        <f>HYPERLINK("./new_k5/query_cmdrels_weight_analyze/0.6_0.1_0.3/au_68028.xlsx","au_68028")</f>
        <v>au_68028</v>
      </c>
      <c r="B178">
        <v>0.14285714285714279</v>
      </c>
      <c r="C178">
        <v>0</v>
      </c>
      <c r="D178">
        <v>0.2857142857142857</v>
      </c>
      <c r="E178">
        <v>7.1428571428571425E-2</v>
      </c>
      <c r="F178">
        <v>0.37142857142857139</v>
      </c>
      <c r="G178">
        <v>0.14285714285714279</v>
      </c>
    </row>
    <row r="179" spans="1:7" x14ac:dyDescent="0.15">
      <c r="A179" t="str">
        <f>HYPERLINK("./new_k5/query_cmdrels_weight_analyze/0.6_0.1_0.3/au_681312.xlsx","au_681312")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0.42857142857142849</v>
      </c>
      <c r="F179">
        <v>0.42857142857142849</v>
      </c>
      <c r="G179">
        <v>0.5714285714285714</v>
      </c>
    </row>
    <row r="180" spans="1:7" x14ac:dyDescent="0.15">
      <c r="A180" t="str">
        <f>HYPERLINK("./new_k5/query_cmdrels_weight_analyze/0.6_0.1_0.3/au_686239.xlsx","au_686239")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HYPERLINK("./new_k5/query_cmdrels_weight_analyze/0.6_0.1_0.3/au_68809.xlsx","au_68809")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0.20833333333333329</v>
      </c>
    </row>
    <row r="182" spans="1:7" x14ac:dyDescent="0.15">
      <c r="A182" t="str">
        <f>HYPERLINK("./new_k5/query_cmdrels_weight_analyze/0.6_0.1_0.3/au_69556.xlsx","au_69556")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HYPERLINK("./new_k5/query_cmdrels_weight_analyze/0.6_0.1_0.3/au_698993.xlsx","au_698993")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HYPERLINK("./new_k5/query_cmdrels_weight_analyze/0.6_0.1_0.3/au_707881.xlsx","au_707881")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0.16666666666666671</v>
      </c>
    </row>
    <row r="185" spans="1:7" x14ac:dyDescent="0.15">
      <c r="A185" t="str">
        <f>HYPERLINK("./new_k5/query_cmdrels_weight_analyze/0.6_0.1_0.3/au_709594.xlsx","au_709594")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HYPERLINK("./new_k5/query_cmdrels_weight_analyze/0.6_0.1_0.3/au_71309.xlsx","au_71309")</f>
        <v>au_71309</v>
      </c>
      <c r="B186">
        <v>0.125</v>
      </c>
      <c r="C186">
        <v>0</v>
      </c>
      <c r="D186">
        <v>0.20833333333333329</v>
      </c>
      <c r="E186">
        <v>0.14583333333333329</v>
      </c>
      <c r="F186">
        <v>0.20833333333333329</v>
      </c>
      <c r="G186">
        <v>0.23958333333333329</v>
      </c>
    </row>
    <row r="187" spans="1:7" x14ac:dyDescent="0.15">
      <c r="A187" t="str">
        <f>HYPERLINK("./new_k5/query_cmdrels_weight_analyze/0.6_0.1_0.3/au_7138.xlsx","au_7138")</f>
        <v>au_7138</v>
      </c>
      <c r="B187">
        <v>0.25</v>
      </c>
      <c r="C187">
        <v>0</v>
      </c>
      <c r="D187">
        <v>0.75</v>
      </c>
      <c r="E187">
        <v>8.3333333333333329E-2</v>
      </c>
      <c r="F187">
        <v>0.75</v>
      </c>
      <c r="G187">
        <v>0.20833333333333329</v>
      </c>
    </row>
    <row r="188" spans="1:7" x14ac:dyDescent="0.15">
      <c r="A188" t="str">
        <f>HYPERLINK("./new_k5/query_cmdrels_weight_analyze/0.6_0.1_0.3/au_72549.xlsx","au_72549")</f>
        <v>au_72549</v>
      </c>
      <c r="B188">
        <v>0</v>
      </c>
      <c r="C188">
        <v>0</v>
      </c>
      <c r="D188">
        <v>0</v>
      </c>
      <c r="E188">
        <v>8.3333333333333329E-2</v>
      </c>
      <c r="F188">
        <v>0</v>
      </c>
      <c r="G188">
        <v>8.3333333333333329E-2</v>
      </c>
    </row>
    <row r="189" spans="1:7" x14ac:dyDescent="0.15">
      <c r="A189" t="str">
        <f>HYPERLINK("./new_k5/query_cmdrels_weight_analyze/0.6_0.1_0.3/au_740805.xlsx","au_740805")</f>
        <v>au_740805</v>
      </c>
      <c r="B189">
        <v>0.25</v>
      </c>
      <c r="C189">
        <v>0</v>
      </c>
      <c r="D189">
        <v>0.41666666666666657</v>
      </c>
      <c r="E189">
        <v>8.3333333333333329E-2</v>
      </c>
      <c r="F189">
        <v>0.41666666666666657</v>
      </c>
      <c r="G189">
        <v>0.20833333333333329</v>
      </c>
    </row>
    <row r="190" spans="1:7" x14ac:dyDescent="0.15">
      <c r="A190" t="str">
        <f>HYPERLINK("./new_k5/query_cmdrels_weight_analyze/0.6_0.1_0.3/au_760796.xlsx","au_760796")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0.4</v>
      </c>
    </row>
    <row r="191" spans="1:7" x14ac:dyDescent="0.15">
      <c r="A191" t="str">
        <f>HYPERLINK("./new_k5/query_cmdrels_weight_analyze/0.6_0.1_0.3/au_762846.xlsx","au_762846")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0.45833333333333331</v>
      </c>
    </row>
    <row r="192" spans="1:7" x14ac:dyDescent="0.15">
      <c r="A192" t="str">
        <f>HYPERLINK("./new_k5/query_cmdrels_weight_analyze/0.6_0.1_0.3/au_767786.xlsx","au_767786")</f>
        <v>au_767786</v>
      </c>
      <c r="B192">
        <v>0.2</v>
      </c>
      <c r="C192">
        <v>0.2</v>
      </c>
      <c r="D192">
        <v>0.4</v>
      </c>
      <c r="E192">
        <v>0.4</v>
      </c>
      <c r="F192">
        <v>0.4</v>
      </c>
      <c r="G192">
        <v>0.4</v>
      </c>
    </row>
    <row r="193" spans="1:7" x14ac:dyDescent="0.15">
      <c r="A193" t="str">
        <f>HYPERLINK("./new_k5/query_cmdrels_weight_analyze/0.6_0.1_0.3/au_778906.xlsx","au_778906")</f>
        <v>au_778906</v>
      </c>
      <c r="B193">
        <v>0.2</v>
      </c>
      <c r="C193">
        <v>0.2</v>
      </c>
      <c r="D193">
        <v>0.33333333333333331</v>
      </c>
      <c r="E193">
        <v>0.33333333333333331</v>
      </c>
      <c r="F193">
        <v>0.33333333333333331</v>
      </c>
      <c r="G193">
        <v>0.48333333333333328</v>
      </c>
    </row>
    <row r="194" spans="1:7" x14ac:dyDescent="0.15">
      <c r="A194" t="str">
        <f>HYPERLINK("./new_k5/query_cmdrels_weight_analyze/0.6_0.1_0.3/au_818929.xlsx","au_818929")</f>
        <v>au_818929</v>
      </c>
      <c r="B194">
        <v>0</v>
      </c>
      <c r="C194">
        <v>0.2</v>
      </c>
      <c r="D194">
        <v>0</v>
      </c>
      <c r="E194">
        <v>0.33333333333333331</v>
      </c>
      <c r="F194">
        <v>0</v>
      </c>
      <c r="G194">
        <v>0.48333333333333328</v>
      </c>
    </row>
    <row r="195" spans="1:7" x14ac:dyDescent="0.15">
      <c r="A195" t="str">
        <f>HYPERLINK("./new_k5/query_cmdrels_weight_analyze/0.6_0.1_0.3/au_844876.xlsx","au_844876")</f>
        <v>au_844876</v>
      </c>
      <c r="B195">
        <v>0.5</v>
      </c>
      <c r="C195">
        <v>0.5</v>
      </c>
      <c r="D195">
        <v>0.5</v>
      </c>
      <c r="E195">
        <v>1</v>
      </c>
      <c r="F195">
        <v>0.5</v>
      </c>
      <c r="G195">
        <v>1</v>
      </c>
    </row>
    <row r="196" spans="1:7" x14ac:dyDescent="0.15">
      <c r="A196" t="str">
        <f>HYPERLINK("./new_k5/query_cmdrels_weight_analyze/0.6_0.1_0.3/au_85318.xlsx","au_85318")</f>
        <v>au_85318</v>
      </c>
      <c r="B196">
        <v>0.2</v>
      </c>
      <c r="C196">
        <v>0.2</v>
      </c>
      <c r="D196">
        <v>0.6</v>
      </c>
      <c r="E196">
        <v>0.6</v>
      </c>
      <c r="F196">
        <v>0.6</v>
      </c>
      <c r="G196">
        <v>0.6</v>
      </c>
    </row>
    <row r="197" spans="1:7" x14ac:dyDescent="0.15">
      <c r="A197" t="str">
        <f>HYPERLINK("./new_k5/query_cmdrels_weight_analyze/0.6_0.1_0.3/au_854332.xlsx","au_854332")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HYPERLINK("./new_k5/query_cmdrels_weight_analyze/0.6_0.1_0.3/au_854373.xlsx","au_854373")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HYPERLINK("./new_k5/query_cmdrels_weight_analyze/0.6_0.1_0.3/au_86843.xlsx","au_86843")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HYPERLINK("./new_k5/query_cmdrels_weight_analyze/0.6_0.1_0.3/au_88108.xlsx","au_88108")</f>
        <v>au_88108</v>
      </c>
      <c r="B200">
        <v>0</v>
      </c>
      <c r="C200">
        <v>0</v>
      </c>
      <c r="D200">
        <v>0.1</v>
      </c>
      <c r="E200">
        <v>6.6666666666666666E-2</v>
      </c>
      <c r="F200">
        <v>0.1</v>
      </c>
      <c r="G200">
        <v>0.1466666666666667</v>
      </c>
    </row>
    <row r="201" spans="1:7" x14ac:dyDescent="0.15">
      <c r="A201" t="str">
        <f>HYPERLINK("./new_k5/query_cmdrels_weight_analyze/0.6_0.1_0.3/au_90214.xlsx","au_90214")</f>
        <v>au_90214</v>
      </c>
      <c r="B201">
        <v>0</v>
      </c>
      <c r="C201">
        <v>0</v>
      </c>
      <c r="D201">
        <v>0.16666666666666671</v>
      </c>
      <c r="E201">
        <v>0.1111111111111111</v>
      </c>
      <c r="F201">
        <v>0.16666666666666671</v>
      </c>
      <c r="G201">
        <v>0.1111111111111111</v>
      </c>
    </row>
    <row r="202" spans="1:7" x14ac:dyDescent="0.15">
      <c r="A202" t="str">
        <f>HYPERLINK("./new_k5/query_cmdrels_weight_analyze/0.6_0.1_0.3/au_90339.xlsx","au_90339")</f>
        <v>au_90339</v>
      </c>
      <c r="B202">
        <v>0</v>
      </c>
      <c r="C202">
        <v>0</v>
      </c>
      <c r="D202">
        <v>4.7619047619047623E-2</v>
      </c>
      <c r="E202">
        <v>7.1428571428571425E-2</v>
      </c>
      <c r="F202">
        <v>0.2047619047619047</v>
      </c>
      <c r="G202">
        <v>0.14285714285714279</v>
      </c>
    </row>
    <row r="203" spans="1:7" x14ac:dyDescent="0.15">
      <c r="A203" t="str">
        <f>HYPERLINK("./new_k5/query_cmdrels_weight_analyze/0.6_0.1_0.3/au_91286.xlsx","au_91286")</f>
        <v>au_91286</v>
      </c>
      <c r="B203">
        <v>0.5</v>
      </c>
      <c r="C203">
        <v>0</v>
      </c>
      <c r="D203">
        <v>0.5</v>
      </c>
      <c r="E203">
        <v>0</v>
      </c>
      <c r="F203">
        <v>0.5</v>
      </c>
      <c r="G203">
        <v>0.125</v>
      </c>
    </row>
    <row r="204" spans="1:7" x14ac:dyDescent="0.15">
      <c r="A204" t="str">
        <f>HYPERLINK("./new_k5/query_cmdrels_weight_analyze/0.6_0.1_0.3/au_9135.xlsx","au_9135")</f>
        <v>au_9135</v>
      </c>
      <c r="B204">
        <v>0.1</v>
      </c>
      <c r="C204">
        <v>0</v>
      </c>
      <c r="D204">
        <v>0.16666666666666671</v>
      </c>
      <c r="E204">
        <v>0.1166666666666667</v>
      </c>
      <c r="F204">
        <v>0.24166666666666661</v>
      </c>
      <c r="G204">
        <v>0.17666666666666669</v>
      </c>
    </row>
    <row r="205" spans="1:7" x14ac:dyDescent="0.15">
      <c r="A205" t="str">
        <f>HYPERLINK("./new_k5/query_cmdrels_weight_analyze/0.6_0.1_0.3/au_935569.xlsx","au_935569")</f>
        <v>au_935569</v>
      </c>
      <c r="B205">
        <v>0.14285714285714279</v>
      </c>
      <c r="C205">
        <v>0.14285714285714279</v>
      </c>
      <c r="D205">
        <v>0.42857142857142849</v>
      </c>
      <c r="E205">
        <v>0.2857142857142857</v>
      </c>
      <c r="F205">
        <v>0.54285714285714282</v>
      </c>
      <c r="G205">
        <v>0.2857142857142857</v>
      </c>
    </row>
    <row r="206" spans="1:7" x14ac:dyDescent="0.15">
      <c r="A206" t="str">
        <f>HYPERLINK("./new_k5/query_cmdrels_weight_analyze/0.6_0.1_0.3/au_97936.xlsx","au_97936")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HYPERLINK("./new_k5/query_cmdrels_weight_analyze/0.6_0.1_0.3/so_10235778.xlsx","so_10235778")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HYPERLINK("./new_k5/query_cmdrels_weight_analyze/0.6_0.1_0.3/so_1045910.xlsx","so_1045910")</f>
        <v>so_1045910</v>
      </c>
      <c r="B208">
        <v>0.25</v>
      </c>
      <c r="C208">
        <v>0.25</v>
      </c>
      <c r="D208">
        <v>0.25</v>
      </c>
      <c r="E208">
        <v>0.5</v>
      </c>
      <c r="F208">
        <v>0.25</v>
      </c>
      <c r="G208">
        <v>0.5</v>
      </c>
    </row>
    <row r="209" spans="1:7" x14ac:dyDescent="0.15">
      <c r="A209" t="str">
        <f>HYPERLINK("./new_k5/query_cmdrels_weight_analyze/0.6_0.1_0.3/so_10557360.xlsx","so_10557360")</f>
        <v>so_10557360</v>
      </c>
      <c r="B209">
        <v>0</v>
      </c>
      <c r="C209">
        <v>0</v>
      </c>
      <c r="D209">
        <v>0</v>
      </c>
      <c r="E209">
        <v>6.6666666666666666E-2</v>
      </c>
      <c r="F209">
        <v>0</v>
      </c>
      <c r="G209">
        <v>6.6666666666666666E-2</v>
      </c>
    </row>
    <row r="210" spans="1:7" x14ac:dyDescent="0.15">
      <c r="A210" t="str">
        <f>HYPERLINK("./new_k5/query_cmdrels_weight_analyze/0.6_0.1_0.3/so_1058047.xlsx","so_1058047")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0.35</v>
      </c>
    </row>
    <row r="211" spans="1:7" x14ac:dyDescent="0.15">
      <c r="A211" t="str">
        <f>HYPERLINK("./new_k5/query_cmdrels_weight_analyze/0.6_0.1_0.3/so_10829402.xlsx","so_10829402")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HYPERLINK("./new_k5/query_cmdrels_weight_analyze/0.6_0.1_0.3/so_1088098.xlsx","so_1088098")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0.25</v>
      </c>
    </row>
    <row r="213" spans="1:7" x14ac:dyDescent="0.15">
      <c r="A213" t="str">
        <f>HYPERLINK("./new_k5/query_cmdrels_weight_analyze/0.6_0.1_0.3/so_10990949.xlsx","so_10990949")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0.5</v>
      </c>
    </row>
    <row r="214" spans="1:7" x14ac:dyDescent="0.15">
      <c r="A214" t="str">
        <f>HYPERLINK("./new_k5/query_cmdrels_weight_analyze/0.6_0.1_0.3/so_11211705.xlsx","so_11211705")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HYPERLINK("./new_k5/query_cmdrels_weight_analyze/0.6_0.1_0.3/so_112932.xlsx","so_112932")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HYPERLINK("./new_k5/query_cmdrels_weight_analyze/0.6_0.1_0.3/so_11392189.xlsx","so_11392189")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8.3333333333333329E-2</v>
      </c>
    </row>
    <row r="217" spans="1:7" x14ac:dyDescent="0.15">
      <c r="A217" t="str">
        <f>HYPERLINK("./new_k5/query_cmdrels_weight_analyze/0.6_0.1_0.3/so_1183183.xlsx","so_1183183")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HYPERLINK("./new_k5/query_cmdrels_weight_analyze/0.6_0.1_0.3/so_1194882.xlsx","so_1194882")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HYPERLINK("./new_k5/query_cmdrels_weight_analyze/0.6_0.1_0.3/so_12120935.xlsx","so_12120935")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HYPERLINK("./new_k5/query_cmdrels_weight_analyze/0.6_0.1_0.3/so_12313384.xlsx","so_12313384")</f>
        <v>so_12313384</v>
      </c>
      <c r="B220">
        <v>0</v>
      </c>
      <c r="C220">
        <v>0</v>
      </c>
      <c r="D220">
        <v>0.16666666666666671</v>
      </c>
      <c r="E220">
        <v>0.16666666666666671</v>
      </c>
      <c r="F220">
        <v>0.16666666666666671</v>
      </c>
      <c r="G220">
        <v>0.33333333333333331</v>
      </c>
    </row>
    <row r="221" spans="1:7" x14ac:dyDescent="0.15">
      <c r="A221" t="str">
        <f>HYPERLINK("./new_k5/query_cmdrels_weight_analyze/0.6_0.1_0.3/so_12392598.xlsx","so_12392598")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HYPERLINK("./new_k5/query_cmdrels_weight_analyze/0.6_0.1_0.3/so_1241801.xlsx","so_1241801")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HYPERLINK("./new_k5/query_cmdrels_weight_analyze/0.6_0.1_0.3/so_12522269.xlsx","so_12522269")</f>
        <v>so_12522269</v>
      </c>
      <c r="B223">
        <v>0.2</v>
      </c>
      <c r="C223">
        <v>0</v>
      </c>
      <c r="D223">
        <v>0.2</v>
      </c>
      <c r="E223">
        <v>0.23333333333333331</v>
      </c>
      <c r="F223">
        <v>0.28000000000000003</v>
      </c>
      <c r="G223">
        <v>0.23333333333333331</v>
      </c>
    </row>
    <row r="224" spans="1:7" x14ac:dyDescent="0.15">
      <c r="A224" t="str">
        <f>HYPERLINK("./new_k5/query_cmdrels_weight_analyze/0.6_0.1_0.3/so_1293907.xlsx","so_1293907")</f>
        <v>so_1293907</v>
      </c>
      <c r="B224">
        <v>0</v>
      </c>
      <c r="C224">
        <v>0.33333333333333331</v>
      </c>
      <c r="D224">
        <v>0</v>
      </c>
      <c r="E224">
        <v>0.66666666666666663</v>
      </c>
      <c r="F224">
        <v>8.3333333333333329E-2</v>
      </c>
      <c r="G224">
        <v>0.91666666666666663</v>
      </c>
    </row>
    <row r="225" spans="1:7" x14ac:dyDescent="0.15">
      <c r="A225" t="str">
        <f>HYPERLINK("./new_k5/query_cmdrels_weight_analyze/0.6_0.1_0.3/so_13428910.xlsx","so_13428910")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HYPERLINK("./new_k5/query_cmdrels_weight_analyze/0.6_0.1_0.3/so_135688.xlsx","so_135688")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HYPERLINK("./new_k5/query_cmdrels_weight_analyze/0.6_0.1_0.3/so_13778273.xlsx","so_13778273")</f>
        <v>so_13778273</v>
      </c>
      <c r="B227">
        <v>0.25</v>
      </c>
      <c r="C227">
        <v>0.25</v>
      </c>
      <c r="D227">
        <v>0.25</v>
      </c>
      <c r="E227">
        <v>0.41666666666666657</v>
      </c>
      <c r="F227">
        <v>0.25</v>
      </c>
      <c r="G227">
        <v>0.41666666666666657</v>
      </c>
    </row>
    <row r="228" spans="1:7" x14ac:dyDescent="0.15">
      <c r="A228" t="str">
        <f>HYPERLINK("./new_k5/query_cmdrels_weight_analyze/0.6_0.1_0.3/so_1405611.xlsx","so_1405611")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</v>
      </c>
      <c r="F228">
        <v>0.33333333333333331</v>
      </c>
      <c r="G228">
        <v>8.3333333333333329E-2</v>
      </c>
    </row>
    <row r="229" spans="1:7" x14ac:dyDescent="0.15">
      <c r="A229" t="str">
        <f>HYPERLINK("./new_k5/query_cmdrels_weight_analyze/0.6_0.1_0.3/so_14300794.xlsx","so_14300794")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0.66666666666666663</v>
      </c>
    </row>
    <row r="230" spans="1:7" x14ac:dyDescent="0.15">
      <c r="A230" t="str">
        <f>HYPERLINK("./new_k5/query_cmdrels_weight_analyze/0.6_0.1_0.3/so_143791.xlsx","so_143791")</f>
        <v>so_143791</v>
      </c>
      <c r="B230">
        <v>0.125</v>
      </c>
      <c r="C230">
        <v>0.125</v>
      </c>
      <c r="D230">
        <v>0.375</v>
      </c>
      <c r="E230">
        <v>0.20833333333333329</v>
      </c>
      <c r="F230">
        <v>0.375</v>
      </c>
      <c r="G230">
        <v>0.40208333333333329</v>
      </c>
    </row>
    <row r="231" spans="1:7" x14ac:dyDescent="0.15">
      <c r="A231" t="str">
        <f>HYPERLINK("./new_k5/query_cmdrels_weight_analyze/0.6_0.1_0.3/so_14750650.xlsx","so_14750650")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0.05</v>
      </c>
    </row>
    <row r="232" spans="1:7" x14ac:dyDescent="0.15">
      <c r="A232" t="str">
        <f>HYPERLINK("./new_k5/query_cmdrels_weight_analyze/0.6_0.1_0.3/so_14978411.xlsx","so_14978411")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HYPERLINK("./new_k5/query_cmdrels_weight_analyze/0.6_0.1_0.3/so_15236308.xlsx","so_15236308")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HYPERLINK("./new_k5/query_cmdrels_weight_analyze/0.6_0.1_0.3/so_15286947.xlsx","so_15286947")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HYPERLINK("./new_k5/query_cmdrels_weight_analyze/0.6_0.1_0.3/so_15402770.xlsx","so_15402770")</f>
        <v>so_15402770</v>
      </c>
      <c r="B235">
        <v>0</v>
      </c>
      <c r="C235">
        <v>0</v>
      </c>
      <c r="D235">
        <v>0.19444444444444439</v>
      </c>
      <c r="E235">
        <v>0.19444444444444439</v>
      </c>
      <c r="F235">
        <v>0.19444444444444439</v>
      </c>
      <c r="G235">
        <v>0.31944444444444442</v>
      </c>
    </row>
    <row r="236" spans="1:7" x14ac:dyDescent="0.15">
      <c r="A236" t="str">
        <f>HYPERLINK("./new_k5/query_cmdrels_weight_analyze/0.6_0.1_0.3/so_1570262.xlsx","so_1570262")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0.13</v>
      </c>
    </row>
    <row r="237" spans="1:7" x14ac:dyDescent="0.15">
      <c r="A237" t="str">
        <f>HYPERLINK("./new_k5/query_cmdrels_weight_analyze/0.6_0.1_0.3/so_1583219.xlsx","so_1583219")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HYPERLINK("./new_k5/query_cmdrels_weight_analyze/0.6_0.1_0.3/so_15872543.xlsx","so_15872543")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HYPERLINK("./new_k5/query_cmdrels_weight_analyze/0.6_0.1_0.3/so_16038087.xlsx","so_16038087")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0.5714285714285714</v>
      </c>
    </row>
    <row r="240" spans="1:7" x14ac:dyDescent="0.15">
      <c r="A240" t="str">
        <f>HYPERLINK("./new_k5/query_cmdrels_weight_analyze/0.6_0.1_0.3/so_16212656.xlsx","so_16212656")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0.3</v>
      </c>
    </row>
    <row r="241" spans="1:7" x14ac:dyDescent="0.15">
      <c r="A241" t="str">
        <f>HYPERLINK("./new_k5/query_cmdrels_weight_analyze/0.6_0.1_0.3/so_16575419.xlsx","so_16575419")</f>
        <v>so_16575419</v>
      </c>
      <c r="B241">
        <v>0.25</v>
      </c>
      <c r="C241">
        <v>0.25</v>
      </c>
      <c r="D241">
        <v>0.25</v>
      </c>
      <c r="E241">
        <v>0.5</v>
      </c>
      <c r="F241">
        <v>0.25</v>
      </c>
      <c r="G241">
        <v>0.5</v>
      </c>
    </row>
    <row r="242" spans="1:7" x14ac:dyDescent="0.15">
      <c r="A242" t="str">
        <f>HYPERLINK("./new_k5/query_cmdrels_weight_analyze/0.6_0.1_0.3/so_17582768.xlsx","so_17582768")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0</v>
      </c>
    </row>
    <row r="243" spans="1:7" x14ac:dyDescent="0.15">
      <c r="A243" t="str">
        <f>HYPERLINK("./new_k5/query_cmdrels_weight_analyze/0.6_0.1_0.3/so_17607612.xlsx","so_17607612")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HYPERLINK("./new_k5/query_cmdrels_weight_analyze/0.6_0.1_0.3/so_17829785.xlsx","so_17829785")</f>
        <v>so_17829785</v>
      </c>
      <c r="B244">
        <v>0.25</v>
      </c>
      <c r="C244">
        <v>0</v>
      </c>
      <c r="D244">
        <v>0.25</v>
      </c>
      <c r="E244">
        <v>0.29166666666666657</v>
      </c>
      <c r="F244">
        <v>0.25</v>
      </c>
      <c r="G244">
        <v>0.29166666666666657</v>
      </c>
    </row>
    <row r="245" spans="1:7" x14ac:dyDescent="0.15">
      <c r="A245" t="str">
        <f>HYPERLINK("./new_k5/query_cmdrels_weight_analyze/0.6_0.1_0.3/so_1839841.xlsx","so_1839841")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HYPERLINK("./new_k5/query_cmdrels_weight_analyze/0.6_0.1_0.3/so_18468716.xlsx","so_18468716")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0.33333333333333331</v>
      </c>
    </row>
    <row r="247" spans="1:7" x14ac:dyDescent="0.15">
      <c r="A247" t="str">
        <f>HYPERLINK("./new_k5/query_cmdrels_weight_analyze/0.6_0.1_0.3/so_19196105.xlsx","so_19196105")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HYPERLINK("./new_k5/query_cmdrels_weight_analyze/0.6_0.1_0.3/so_19482123.xlsx","so_19482123")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HYPERLINK("./new_k5/query_cmdrels_weight_analyze/0.6_0.1_0.3/so_1975849.xlsx","so_1975849")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HYPERLINK("./new_k5/query_cmdrels_weight_analyze/0.6_0.1_0.3/so_212528.xlsx","so_212528")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0.43333333333333329</v>
      </c>
    </row>
    <row r="251" spans="1:7" x14ac:dyDescent="0.15">
      <c r="A251" t="str">
        <f>HYPERLINK("./new_k5/query_cmdrels_weight_analyze/0.6_0.1_0.3/so_21620406.xlsx","so_21620406")</f>
        <v>so_21620406</v>
      </c>
      <c r="B251">
        <v>0</v>
      </c>
      <c r="C251">
        <v>0</v>
      </c>
      <c r="D251">
        <v>0.1111111111111111</v>
      </c>
      <c r="E251">
        <v>0</v>
      </c>
      <c r="F251">
        <v>0.1111111111111111</v>
      </c>
      <c r="G251">
        <v>8.3333333333333329E-2</v>
      </c>
    </row>
    <row r="252" spans="1:7" x14ac:dyDescent="0.15">
      <c r="A252" t="str">
        <f>HYPERLINK("./new_k5/query_cmdrels_weight_analyze/0.6_0.1_0.3/so_23509348.xlsx","so_23509348")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HYPERLINK("./new_k5/query_cmdrels_weight_analyze/0.6_0.1_0.3/so_24058544.xlsx","so_24058544")</f>
        <v>so_24058544</v>
      </c>
      <c r="B253">
        <v>0.2</v>
      </c>
      <c r="C253">
        <v>0.2</v>
      </c>
      <c r="D253">
        <v>0.2</v>
      </c>
      <c r="E253">
        <v>0.2</v>
      </c>
      <c r="F253">
        <v>0.2</v>
      </c>
      <c r="G253">
        <v>0.2</v>
      </c>
    </row>
    <row r="254" spans="1:7" x14ac:dyDescent="0.15">
      <c r="A254" t="str">
        <f>HYPERLINK("./new_k5/query_cmdrels_weight_analyze/0.6_0.1_0.3/so_24283097.xlsx","so_24283097")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HYPERLINK("./new_k5/query_cmdrels_weight_analyze/0.6_0.1_0.3/so_26256279.xlsx","so_26256279")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HYPERLINK("./new_k5/query_cmdrels_weight_analyze/0.6_0.1_0.3/so_26331651.xlsx","so_26331651")</f>
        <v>so_26331651</v>
      </c>
      <c r="B256">
        <v>0</v>
      </c>
      <c r="C256">
        <v>0</v>
      </c>
      <c r="D256">
        <v>0</v>
      </c>
      <c r="E256">
        <v>7.1428571428571425E-2</v>
      </c>
      <c r="F256">
        <v>0</v>
      </c>
      <c r="G256">
        <v>0.14285714285714279</v>
      </c>
    </row>
    <row r="257" spans="1:7" x14ac:dyDescent="0.15">
      <c r="A257" t="str">
        <f>HYPERLINK("./new_k5/query_cmdrels_weight_analyze/0.6_0.1_0.3/so_26988262.xlsx","so_26988262")</f>
        <v>so_26988262</v>
      </c>
      <c r="B257">
        <v>0</v>
      </c>
      <c r="C257">
        <v>0</v>
      </c>
      <c r="D257">
        <v>0.16666666666666671</v>
      </c>
      <c r="E257">
        <v>0.1111111111111111</v>
      </c>
      <c r="F257">
        <v>0.33333333333333331</v>
      </c>
      <c r="G257">
        <v>0.1111111111111111</v>
      </c>
    </row>
    <row r="258" spans="1:7" x14ac:dyDescent="0.15">
      <c r="A258" t="str">
        <f>HYPERLINK("./new_k5/query_cmdrels_weight_analyze/0.6_0.1_0.3/so_27238411.xlsx","so_27238411")</f>
        <v>so_27238411</v>
      </c>
      <c r="B258">
        <v>0.2</v>
      </c>
      <c r="C258">
        <v>0.2</v>
      </c>
      <c r="D258">
        <v>0.6</v>
      </c>
      <c r="E258">
        <v>0.6</v>
      </c>
      <c r="F258">
        <v>0.6</v>
      </c>
      <c r="G258">
        <v>0.6</v>
      </c>
    </row>
    <row r="259" spans="1:7" x14ac:dyDescent="0.15">
      <c r="A259" t="str">
        <f>HYPERLINK("./new_k5/query_cmdrels_weight_analyze/0.6_0.1_0.3/so_27943059.xlsx","so_27943059")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0.33333333333333331</v>
      </c>
      <c r="F259">
        <v>0.16666666666666671</v>
      </c>
      <c r="G259">
        <v>0.5</v>
      </c>
    </row>
    <row r="260" spans="1:7" x14ac:dyDescent="0.15">
      <c r="A260" t="str">
        <f>HYPERLINK("./new_k5/query_cmdrels_weight_analyze/0.6_0.1_0.3/so_28869004.xlsx","so_28869004")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HYPERLINK("./new_k5/query_cmdrels_weight_analyze/0.6_0.1_0.3/so_2973624.xlsx","so_2973624")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0.66666666666666663</v>
      </c>
      <c r="F261">
        <v>0.66666666666666663</v>
      </c>
      <c r="G261">
        <v>0.91666666666666663</v>
      </c>
    </row>
    <row r="262" spans="1:7" x14ac:dyDescent="0.15">
      <c r="A262" t="str">
        <f>HYPERLINK("./new_k5/query_cmdrels_weight_analyze/0.6_0.1_0.3/so_30177455.xlsx","so_30177455")</f>
        <v>so_30177455</v>
      </c>
      <c r="B262">
        <v>0</v>
      </c>
      <c r="C262">
        <v>0</v>
      </c>
      <c r="D262">
        <v>0.16666666666666671</v>
      </c>
      <c r="E262">
        <v>0</v>
      </c>
      <c r="F262">
        <v>0.16666666666666671</v>
      </c>
      <c r="G262">
        <v>8.3333333333333329E-2</v>
      </c>
    </row>
    <row r="263" spans="1:7" x14ac:dyDescent="0.15">
      <c r="A263" t="str">
        <f>HYPERLINK("./new_k5/query_cmdrels_weight_analyze/0.6_0.1_0.3/so_30251889.xlsx","so_30251889")</f>
        <v>so_30251889</v>
      </c>
      <c r="B263">
        <v>0</v>
      </c>
      <c r="C263">
        <v>0.25</v>
      </c>
      <c r="D263">
        <v>0.125</v>
      </c>
      <c r="E263">
        <v>0.5</v>
      </c>
      <c r="F263">
        <v>0.22500000000000001</v>
      </c>
      <c r="G263">
        <v>0.88749999999999996</v>
      </c>
    </row>
    <row r="264" spans="1:7" x14ac:dyDescent="0.15">
      <c r="A264" t="str">
        <f>HYPERLINK("./new_k5/query_cmdrels_weight_analyze/0.6_0.1_0.3/so_305035.xlsx","so_305035")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HYPERLINK("./new_k5/query_cmdrels_weight_analyze/0.6_0.1_0.3/so_36249744.xlsx","so_36249744")</f>
        <v>so_36249744</v>
      </c>
      <c r="B265">
        <v>1</v>
      </c>
      <c r="C265">
        <v>0</v>
      </c>
      <c r="D265">
        <v>1</v>
      </c>
      <c r="E265">
        <v>0</v>
      </c>
      <c r="F265">
        <v>1</v>
      </c>
      <c r="G265">
        <v>0</v>
      </c>
    </row>
    <row r="266" spans="1:7" x14ac:dyDescent="0.15">
      <c r="A266" t="str">
        <f>HYPERLINK("./new_k5/query_cmdrels_weight_analyze/0.6_0.1_0.3/so_3643848.xlsx","so_3643848")</f>
        <v>so_3643848</v>
      </c>
      <c r="B266">
        <v>0.5</v>
      </c>
      <c r="C266">
        <v>0.5</v>
      </c>
      <c r="D266">
        <v>1</v>
      </c>
      <c r="E266">
        <v>0.5</v>
      </c>
      <c r="F266">
        <v>1</v>
      </c>
      <c r="G266">
        <v>0.75</v>
      </c>
    </row>
    <row r="267" spans="1:7" x14ac:dyDescent="0.15">
      <c r="A267" t="str">
        <f>HYPERLINK("./new_k5/query_cmdrels_weight_analyze/0.6_0.1_0.3/so_3667329.xlsx","so_3667329")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HYPERLINK("./new_k5/query_cmdrels_weight_analyze/0.6_0.1_0.3/so_369758.xlsx","so_369758")</f>
        <v>so_369758</v>
      </c>
      <c r="B268">
        <v>0.2</v>
      </c>
      <c r="C268">
        <v>0.2</v>
      </c>
      <c r="D268">
        <v>0.4</v>
      </c>
      <c r="E268">
        <v>0.33333333333333331</v>
      </c>
      <c r="F268">
        <v>0.4</v>
      </c>
      <c r="G268">
        <v>0.48333333333333328</v>
      </c>
    </row>
    <row r="269" spans="1:7" x14ac:dyDescent="0.15">
      <c r="A269" t="str">
        <f>HYPERLINK("./new_k5/query_cmdrels_weight_analyze/0.6_0.1_0.3/so_3756323.xlsx","so_3756323")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</v>
      </c>
    </row>
    <row r="270" spans="1:7" x14ac:dyDescent="0.15">
      <c r="A270" t="str">
        <f>HYPERLINK("./new_k5/query_cmdrels_weight_analyze/0.6_0.1_0.3/so_3767267.xlsx","so_3767267")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HYPERLINK("./new_k5/query_cmdrels_weight_analyze/0.6_0.1_0.3/so_3833578.xlsx","so_3833578")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HYPERLINK("./new_k5/query_cmdrels_weight_analyze/0.6_0.1_0.3/so_3891076.xlsx","so_3891076")</f>
        <v>so_3891076</v>
      </c>
      <c r="B272">
        <v>0.25</v>
      </c>
      <c r="C272">
        <v>0</v>
      </c>
      <c r="D272">
        <v>0.25</v>
      </c>
      <c r="E272">
        <v>0.125</v>
      </c>
      <c r="F272">
        <v>0.25</v>
      </c>
      <c r="G272">
        <v>0.22500000000000001</v>
      </c>
    </row>
    <row r="273" spans="1:7" x14ac:dyDescent="0.15">
      <c r="A273" t="str">
        <f>HYPERLINK("./new_k5/query_cmdrels_weight_analyze/0.6_0.1_0.3/so_3963085.xlsx","so_3963085")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HYPERLINK("./new_k5/query_cmdrels_weight_analyze/0.6_0.1_0.3/so_4325216.xlsx","so_4325216")</f>
        <v>so_4325216</v>
      </c>
      <c r="B274">
        <v>0.5</v>
      </c>
      <c r="C274">
        <v>0.5</v>
      </c>
      <c r="D274">
        <v>0.5</v>
      </c>
      <c r="E274">
        <v>0.83333333333333326</v>
      </c>
      <c r="F274">
        <v>0.5</v>
      </c>
      <c r="G274">
        <v>0.83333333333333326</v>
      </c>
    </row>
    <row r="275" spans="1:7" x14ac:dyDescent="0.15">
      <c r="A275" t="str">
        <f>HYPERLINK("./new_k5/query_cmdrels_weight_analyze/0.6_0.1_0.3/so_448005.xlsx","so_448005")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HYPERLINK("./new_k5/query_cmdrels_weight_analyze/0.6_0.1_0.3/so_4921879.xlsx","so_4921879")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HYPERLINK("./new_k5/query_cmdrels_weight_analyze/0.6_0.1_0.3/so_4922943.xlsx","so_4922943")</f>
        <v>so_4922943</v>
      </c>
      <c r="B277">
        <v>0.2</v>
      </c>
      <c r="C277">
        <v>0</v>
      </c>
      <c r="D277">
        <v>0.33333333333333331</v>
      </c>
      <c r="E277">
        <v>0.1</v>
      </c>
      <c r="F277">
        <v>0.33333333333333331</v>
      </c>
      <c r="G277">
        <v>0.2</v>
      </c>
    </row>
    <row r="278" spans="1:7" x14ac:dyDescent="0.15">
      <c r="A278" t="str">
        <f>HYPERLINK("./new_k5/query_cmdrels_weight_analyze/0.6_0.1_0.3/so_5119946.xlsx","so_5119946")</f>
        <v>so_5119946</v>
      </c>
      <c r="B278">
        <v>0.5</v>
      </c>
      <c r="C278">
        <v>0</v>
      </c>
      <c r="D278">
        <v>0.5</v>
      </c>
      <c r="E278">
        <v>0.16666666666666671</v>
      </c>
      <c r="F278">
        <v>0.5</v>
      </c>
      <c r="G278">
        <v>0.41666666666666657</v>
      </c>
    </row>
    <row r="279" spans="1:7" x14ac:dyDescent="0.15">
      <c r="A279" t="str">
        <f>HYPERLINK("./new_k5/query_cmdrels_weight_analyze/0.6_0.1_0.3/so_5164985.xlsx","so_5164985")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0.3</v>
      </c>
    </row>
    <row r="280" spans="1:7" x14ac:dyDescent="0.15">
      <c r="A280" t="str">
        <f>HYPERLINK("./new_k5/query_cmdrels_weight_analyze/0.6_0.1_0.3/so_5306153.xlsx","so_5306153")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HYPERLINK("./new_k5/query_cmdrels_weight_analyze/0.6_0.1_0.3/so_5566310.xlsx","so_5566310")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HYPERLINK("./new_k5/query_cmdrels_weight_analyze/0.6_0.1_0.3/so_5927369.xlsx","so_5927369")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HYPERLINK("./new_k5/query_cmdrels_weight_analyze/0.6_0.1_0.3/so_5947742.xlsx","so_5947742")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HYPERLINK("./new_k5/query_cmdrels_weight_analyze/0.6_0.1_0.3/so_614795.xlsx","so_614795")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HYPERLINK("./new_k5/query_cmdrels_weight_analyze/0.6_0.1_0.3/so_6207573.xlsx","so_6207573")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0.42857142857142849</v>
      </c>
      <c r="F285">
        <v>0.37142857142857139</v>
      </c>
      <c r="G285">
        <v>0.5714285714285714</v>
      </c>
    </row>
    <row r="286" spans="1:7" x14ac:dyDescent="0.15">
      <c r="A286" t="str">
        <f>HYPERLINK("./new_k5/query_cmdrels_weight_analyze/0.6_0.1_0.3/so_6283167.xlsx","so_6283167")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HYPERLINK("./new_k5/query_cmdrels_weight_analyze/0.6_0.1_0.3/so_6329505.xlsx","so_6329505")</f>
        <v>so_6329505</v>
      </c>
      <c r="B287">
        <v>0</v>
      </c>
      <c r="C287">
        <v>0.2</v>
      </c>
      <c r="D287">
        <v>0.1</v>
      </c>
      <c r="E287">
        <v>0.2</v>
      </c>
      <c r="F287">
        <v>0.18</v>
      </c>
      <c r="G287">
        <v>0.2</v>
      </c>
    </row>
    <row r="288" spans="1:7" x14ac:dyDescent="0.15">
      <c r="A288" t="str">
        <f>HYPERLINK("./new_k5/query_cmdrels_weight_analyze/0.6_0.1_0.3/so_6423532.xlsx","so_6423532")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HYPERLINK("./new_k5/query_cmdrels_weight_analyze/0.6_0.1_0.3/so_669438.xlsx","so_669438")</f>
        <v>so_669438</v>
      </c>
      <c r="B289">
        <v>0.2</v>
      </c>
      <c r="C289">
        <v>0.2</v>
      </c>
      <c r="D289">
        <v>0.6</v>
      </c>
      <c r="E289">
        <v>0.4</v>
      </c>
      <c r="F289">
        <v>0.6</v>
      </c>
      <c r="G289">
        <v>0.55000000000000004</v>
      </c>
    </row>
    <row r="290" spans="1:7" x14ac:dyDescent="0.15">
      <c r="A290" t="str">
        <f>HYPERLINK("./new_k5/query_cmdrels_weight_analyze/0.6_0.1_0.3/so_7052875.xlsx","so_7052875")</f>
        <v>so_7052875</v>
      </c>
      <c r="B290">
        <v>0.2</v>
      </c>
      <c r="C290">
        <v>0.2</v>
      </c>
      <c r="D290">
        <v>0.2</v>
      </c>
      <c r="E290">
        <v>0.2</v>
      </c>
      <c r="F290">
        <v>0.2</v>
      </c>
      <c r="G290">
        <v>0.3</v>
      </c>
    </row>
    <row r="291" spans="1:7" x14ac:dyDescent="0.15">
      <c r="A291" t="str">
        <f>HYPERLINK("./new_k5/query_cmdrels_weight_analyze/0.6_0.1_0.3/so_7221757.xlsx","so_7221757")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HYPERLINK("./new_k5/query_cmdrels_weight_analyze/0.6_0.1_0.3/so_750604.xlsx","so_750604")</f>
        <v>so_750604</v>
      </c>
      <c r="B292">
        <v>0</v>
      </c>
      <c r="C292">
        <v>0</v>
      </c>
      <c r="D292">
        <v>0.1111111111111111</v>
      </c>
      <c r="E292">
        <v>0.16666666666666671</v>
      </c>
      <c r="F292">
        <v>0.1111111111111111</v>
      </c>
      <c r="G292">
        <v>0.33333333333333331</v>
      </c>
    </row>
    <row r="293" spans="1:7" x14ac:dyDescent="0.15">
      <c r="A293" t="str">
        <f>HYPERLINK("./new_k5/query_cmdrels_weight_analyze/0.6_0.1_0.3/so_7575267.xlsx","so_7575267")</f>
        <v>so_7575267</v>
      </c>
      <c r="B293">
        <v>0</v>
      </c>
      <c r="C293">
        <v>0.25</v>
      </c>
      <c r="D293">
        <v>0</v>
      </c>
      <c r="E293">
        <v>0.5</v>
      </c>
      <c r="F293">
        <v>0</v>
      </c>
      <c r="G293">
        <v>0.5</v>
      </c>
    </row>
    <row r="294" spans="1:7" x14ac:dyDescent="0.15">
      <c r="A294" t="str">
        <f>HYPERLINK("./new_k5/query_cmdrels_weight_analyze/0.6_0.1_0.3/so_7698488.xlsx","so_7698488")</f>
        <v>so_7698488</v>
      </c>
      <c r="B294">
        <v>0</v>
      </c>
      <c r="C294">
        <v>0</v>
      </c>
      <c r="D294">
        <v>0</v>
      </c>
      <c r="E294">
        <v>8.3333333333333329E-2</v>
      </c>
      <c r="F294">
        <v>0</v>
      </c>
      <c r="G294">
        <v>0.18333333333333329</v>
      </c>
    </row>
    <row r="295" spans="1:7" x14ac:dyDescent="0.15">
      <c r="A295" t="str">
        <f>HYPERLINK("./new_k5/query_cmdrels_weight_analyze/0.6_0.1_0.3/so_801095.xlsx","so_801095")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0.33333333333333331</v>
      </c>
      <c r="F295">
        <v>0.33333333333333331</v>
      </c>
      <c r="G295">
        <v>0.5</v>
      </c>
    </row>
    <row r="296" spans="1:7" x14ac:dyDescent="0.15">
      <c r="A296" t="str">
        <f>HYPERLINK("./new_k5/query_cmdrels_weight_analyze/0.6_0.1_0.3/so_8249705.xlsx","so_8249705")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HYPERLINK("./new_k5/query_cmdrels_weight_analyze/0.6_0.1_0.3/so_8423541.xlsx","so_8423541")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HYPERLINK("./new_k5/query_cmdrels_weight_analyze/0.6_0.1_0.3/so_8654051.xlsx","so_8654051")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HYPERLINK("./new_k5/query_cmdrels_weight_analyze/0.6_0.1_0.3/so_890262.xlsx","so_890262")</f>
        <v>so_890262</v>
      </c>
      <c r="B299">
        <v>0</v>
      </c>
      <c r="C299">
        <v>0</v>
      </c>
      <c r="D299">
        <v>0</v>
      </c>
      <c r="E299">
        <v>0.38888888888888878</v>
      </c>
      <c r="F299">
        <v>0</v>
      </c>
      <c r="G299">
        <v>0.38888888888888878</v>
      </c>
    </row>
    <row r="300" spans="1:7" x14ac:dyDescent="0.15">
      <c r="A300" t="str">
        <f>HYPERLINK("./new_k5/query_cmdrels_weight_analyze/0.6_0.1_0.3/so_893585.xlsx","so_893585")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HYPERLINK("./new_k5/query_cmdrels_weight_analyze/0.6_0.1_0.3/so_9223460.xlsx","so_9223460")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</v>
      </c>
    </row>
    <row r="302" spans="1:7" x14ac:dyDescent="0.15">
      <c r="A302" t="str">
        <f>HYPERLINK("./new_k5/query_cmdrels_weight_analyze/0.6_0.1_0.3/so_9245638.xlsx","so_9245638")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HYPERLINK("./new_k5/query_cmdrels_weight_analyze/0.6_0.1_0.3/so_9304953.xlsx","so_9304953")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HYPERLINK("./new_k5/query_cmdrels_weight_analyze/0.6_0.1_0.3/so_9361816.xlsx","so_9361816")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HYPERLINK("./new_k5/query_cmdrels_weight_analyze/0.6_0.1_0.3/su_116617.xlsx","su_116617")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HYPERLINK("./new_k5/query_cmdrels_weight_analyze/0.6_0.1_0.3/su_120045.xlsx","su_120045")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HYPERLINK("./new_k5/query_cmdrels_weight_analyze/0.6_0.1_0.3/su_127863.xlsx","su_127863")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HYPERLINK("./new_k5/query_cmdrels_weight_analyze/0.6_0.1_0.3/su_135498.xlsx","su_135498")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HYPERLINK("./new_k5/query_cmdrels_weight_analyze/0.6_0.1_0.3/su_147027.xlsx","su_147027")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HYPERLINK("./new_k5/query_cmdrels_weight_analyze/0.6_0.1_0.3/su_151911.xlsx","su_151911")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15">
      <c r="A311" t="str">
        <f>HYPERLINK("./new_k5/query_cmdrels_weight_analyze/0.6_0.1_0.3/su_153415.xlsx","su_153415")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HYPERLINK("./new_k5/query_cmdrels_weight_analyze/0.6_0.1_0.3/su_156189.xlsx","su_156189")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0.40277777777777768</v>
      </c>
    </row>
    <row r="313" spans="1:7" x14ac:dyDescent="0.15">
      <c r="A313" t="str">
        <f>HYPERLINK("./new_k5/query_cmdrels_weight_analyze/0.6_0.1_0.3/su_161531.xlsx","su_161531")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HYPERLINK("./new_k5/query_cmdrels_weight_analyze/0.6_0.1_0.3/su_204209.xlsx","su_204209")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HYPERLINK("./new_k5/query_cmdrels_weight_analyze/0.6_0.1_0.3/su_214390.xlsx","su_214390")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HYPERLINK("./new_k5/query_cmdrels_weight_analyze/0.6_0.1_0.3/su_215483.xlsx","su_215483")</f>
        <v>su_215483</v>
      </c>
      <c r="B316">
        <v>0.5</v>
      </c>
      <c r="C316">
        <v>0.5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HYPERLINK("./new_k5/query_cmdrels_weight_analyze/0.6_0.1_0.3/su_215504.xlsx","su_215504")</f>
        <v>su_215504</v>
      </c>
      <c r="B317">
        <v>0</v>
      </c>
      <c r="C317">
        <v>0.25</v>
      </c>
      <c r="D317">
        <v>0.29166666666666657</v>
      </c>
      <c r="E317">
        <v>0.41666666666666657</v>
      </c>
      <c r="F317">
        <v>0.44166666666666671</v>
      </c>
      <c r="G317">
        <v>0.60416666666666663</v>
      </c>
    </row>
    <row r="318" spans="1:7" x14ac:dyDescent="0.15">
      <c r="A318" t="str">
        <f>HYPERLINK("./new_k5/query_cmdrels_weight_analyze/0.6_0.1_0.3/su_227385.xlsx","su_227385")</f>
        <v>su_227385</v>
      </c>
      <c r="B318">
        <v>0</v>
      </c>
      <c r="C318">
        <v>0</v>
      </c>
      <c r="D318">
        <v>0</v>
      </c>
      <c r="E318">
        <v>0.29166666666666657</v>
      </c>
      <c r="F318">
        <v>0</v>
      </c>
      <c r="G318">
        <v>0.6791666666666667</v>
      </c>
    </row>
    <row r="319" spans="1:7" x14ac:dyDescent="0.15">
      <c r="A319" t="str">
        <f>HYPERLINK("./new_k5/query_cmdrels_weight_analyze/0.6_0.1_0.3/su_273254.xlsx","su_273254")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HYPERLINK("./new_k5/query_cmdrels_weight_analyze/0.6_0.1_0.3/su_294161.xlsx","su_294161")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HYPERLINK("./new_k5/query_cmdrels_weight_analyze/0.6_0.1_0.3/su_302396.xlsx","su_302396")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HYPERLINK("./new_k5/query_cmdrels_weight_analyze/0.6_0.1_0.3/su_303981.xlsx","su_303981")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HYPERLINK("./new_k5/query_cmdrels_weight_analyze/0.6_0.1_0.3/su_305128.xlsx","su_305128")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HYPERLINK("./new_k5/query_cmdrels_weight_analyze/0.6_0.1_0.3/su_31512.xlsx","su_31512")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HYPERLINK("./new_k5/query_cmdrels_weight_analyze/0.6_0.1_0.3/su_380520.xlsx","su_380520")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0.1111111111111111</v>
      </c>
      <c r="F325">
        <v>0.33333333333333331</v>
      </c>
      <c r="G325">
        <v>0.27777777777777768</v>
      </c>
    </row>
    <row r="326" spans="1:7" x14ac:dyDescent="0.15">
      <c r="A326" t="str">
        <f>HYPERLINK("./new_k5/query_cmdrels_weight_analyze/0.6_0.1_0.3/su_38981.xlsx","su_38981")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HYPERLINK("./new_k5/query_cmdrels_weight_analyze/0.6_0.1_0.3/su_437330.xlsx","su_437330")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HYPERLINK("./new_k5/query_cmdrels_weight_analyze/0.6_0.1_0.3/su_441379.xlsx","su_441379")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HYPERLINK("./new_k5/query_cmdrels_weight_analyze/0.6_0.1_0.3/su_462788.xlsx","su_462788")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0.22222222222222221</v>
      </c>
      <c r="F329">
        <v>0.30555555555555558</v>
      </c>
      <c r="G329">
        <v>0.30555555555555558</v>
      </c>
    </row>
    <row r="330" spans="1:7" x14ac:dyDescent="0.15">
      <c r="A330" t="str">
        <f>HYPERLINK("./new_k5/query_cmdrels_weight_analyze/0.6_0.1_0.3/su_626606.xlsx","su_626606")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0.66666666666666663</v>
      </c>
    </row>
    <row r="331" spans="1:7" x14ac:dyDescent="0.15">
      <c r="A331" t="str">
        <f>HYPERLINK("./new_k5/query_cmdrels_weight_analyze/0.6_0.1_0.3/su_634469.xlsx","su_634469")</f>
        <v>su_634469</v>
      </c>
      <c r="B331">
        <v>0</v>
      </c>
      <c r="C331">
        <v>0.16666666666666671</v>
      </c>
      <c r="D331">
        <v>0</v>
      </c>
      <c r="E331">
        <v>0.33333333333333331</v>
      </c>
      <c r="F331">
        <v>0</v>
      </c>
      <c r="G331">
        <v>0.43333333333333329</v>
      </c>
    </row>
    <row r="332" spans="1:7" x14ac:dyDescent="0.15">
      <c r="A332" t="str">
        <f>HYPERLINK("./new_k5/query_cmdrels_weight_analyze/0.6_0.1_0.3/su_638616.xlsx","su_638616")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HYPERLINK("./new_k5/query_cmdrels_weight_analyze/0.6_0.1_0.3/su_678113.xlsx","su_678113")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HYPERLINK("./new_k5/query_cmdrels_weight_analyze/0.6_0.1_0.3/su_686394.xlsx","su_686394")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HYPERLINK("./new_k5/query_cmdrels_weight_analyze/0.6_0.1_0.3/su_716795.xlsx","su_716795")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</v>
      </c>
    </row>
    <row r="336" spans="1:7" x14ac:dyDescent="0.15">
      <c r="A336" t="str">
        <f>HYPERLINK("./new_k5/query_cmdrels_weight_analyze/0.6_0.1_0.3/su_758463.xlsx","su_758463")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HYPERLINK("./new_k5/query_cmdrels_weight_analyze/0.6_0.1_0.3/su_766437.xlsx","su_766437")</f>
        <v>su_766437</v>
      </c>
      <c r="B337">
        <v>0</v>
      </c>
      <c r="C337">
        <v>0.2</v>
      </c>
      <c r="D337">
        <v>0</v>
      </c>
      <c r="E337">
        <v>0.33333333333333331</v>
      </c>
      <c r="F337">
        <v>0.05</v>
      </c>
      <c r="G337">
        <v>0.45333333333333331</v>
      </c>
    </row>
    <row r="338" spans="1:7" x14ac:dyDescent="0.15">
      <c r="A338" t="str">
        <f>HYPERLINK("./new_k5/query_cmdrels_weight_analyze/0.6_0.1_0.3/su_904001.xlsx","su_904001")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HYPERLINK("./new_k5/query_cmdrels_weight_analyze/0.6_0.1_0.3/ul_100959.xlsx","ul_100959")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HYPERLINK("./new_k5/query_cmdrels_weight_analyze/0.6_0.1_0.3/ul_101073.xlsx","ul_101073")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HYPERLINK("./new_k5/query_cmdrels_weight_analyze/0.6_0.1_0.3/ul_101237.xlsx","ul_101237")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HYPERLINK("./new_k5/query_cmdrels_weight_analyze/0.6_0.1_0.3/ul_102752.xlsx","ul_102752")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0.8041666666666667</v>
      </c>
    </row>
    <row r="343" spans="1:7" x14ac:dyDescent="0.15">
      <c r="A343" t="str">
        <f>HYPERLINK("./new_k5/query_cmdrels_weight_analyze/0.6_0.1_0.3/ul_108174.xlsx","ul_108174")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HYPERLINK("./new_k5/query_cmdrels_weight_analyze/0.6_0.1_0.3/ul_109536.xlsx","ul_109536")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HYPERLINK("./new_k5/query_cmdrels_weight_analyze/0.6_0.1_0.3/ul_112050.xlsx","ul_112050")</f>
        <v>ul_112050</v>
      </c>
      <c r="B345">
        <v>0</v>
      </c>
      <c r="C345">
        <v>0.25</v>
      </c>
      <c r="D345">
        <v>0.125</v>
      </c>
      <c r="E345">
        <v>0.5</v>
      </c>
      <c r="F345">
        <v>0.125</v>
      </c>
      <c r="G345">
        <v>0.6875</v>
      </c>
    </row>
    <row r="346" spans="1:7" x14ac:dyDescent="0.15">
      <c r="A346" t="str">
        <f>HYPERLINK("./new_k5/query_cmdrels_weight_analyze/0.6_0.1_0.3/ul_116070.xlsx","ul_116070")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0.33333333333333331</v>
      </c>
      <c r="F346">
        <v>0.45833333333333331</v>
      </c>
      <c r="G346">
        <v>0.45833333333333331</v>
      </c>
    </row>
    <row r="347" spans="1:7" x14ac:dyDescent="0.15">
      <c r="A347" t="str">
        <f>HYPERLINK("./new_k5/query_cmdrels_weight_analyze/0.6_0.1_0.3/ul_11851.xlsx","ul_11851")</f>
        <v>ul_11851</v>
      </c>
      <c r="B347">
        <v>0</v>
      </c>
      <c r="C347">
        <v>0.2</v>
      </c>
      <c r="D347">
        <v>0</v>
      </c>
      <c r="E347">
        <v>0.4</v>
      </c>
      <c r="F347">
        <v>0</v>
      </c>
      <c r="G347">
        <v>0.71</v>
      </c>
    </row>
    <row r="348" spans="1:7" x14ac:dyDescent="0.15">
      <c r="A348" t="str">
        <f>HYPERLINK("./new_k5/query_cmdrels_weight_analyze/0.6_0.1_0.3/ul_119126.xlsx","ul_119126")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HYPERLINK("./new_k5/query_cmdrels_weight_analyze/0.6_0.1_0.3/ul_121718.xlsx","ul_121718")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HYPERLINK("./new_k5/query_cmdrels_weight_analyze/0.6_0.1_0.3/ul_12227.xlsx","ul_12227")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HYPERLINK("./new_k5/query_cmdrels_weight_analyze/0.6_0.1_0.3/ul_12453.xlsx","ul_12453")</f>
        <v>ul_12453</v>
      </c>
      <c r="B351">
        <v>0</v>
      </c>
      <c r="C351">
        <v>0</v>
      </c>
      <c r="D351">
        <v>0.125</v>
      </c>
      <c r="E351">
        <v>0.29166666666666657</v>
      </c>
      <c r="F351">
        <v>0.125</v>
      </c>
      <c r="G351">
        <v>0.47916666666666657</v>
      </c>
    </row>
    <row r="352" spans="1:7" x14ac:dyDescent="0.15">
      <c r="A352" t="str">
        <f>HYPERLINK("./new_k5/query_cmdrels_weight_analyze/0.6_0.1_0.3/ul_12535.xlsx","ul_12535")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0.16666666666666671</v>
      </c>
    </row>
    <row r="353" spans="1:7" x14ac:dyDescent="0.15">
      <c r="A353" t="str">
        <f>HYPERLINK("./new_k5/query_cmdrels_weight_analyze/0.6_0.1_0.3/ul_127066.xlsx","ul_127066")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0.41666666666666657</v>
      </c>
    </row>
    <row r="354" spans="1:7" x14ac:dyDescent="0.15">
      <c r="A354" t="str">
        <f>HYPERLINK("./new_k5/query_cmdrels_weight_analyze/0.6_0.1_0.3/ul_128953.xlsx","ul_128953")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HYPERLINK("./new_k5/query_cmdrels_weight_analyze/0.6_0.1_0.3/ul_134829.xlsx","ul_134829")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0.5</v>
      </c>
    </row>
    <row r="356" spans="1:7" x14ac:dyDescent="0.15">
      <c r="A356" t="str">
        <f>HYPERLINK("./new_k5/query_cmdrels_weight_analyze/0.6_0.1_0.3/ul_136371.xlsx","ul_136371")</f>
        <v>ul_136371</v>
      </c>
      <c r="B356">
        <v>0</v>
      </c>
      <c r="C356">
        <v>0.33333333333333331</v>
      </c>
      <c r="D356">
        <v>0</v>
      </c>
      <c r="E356">
        <v>0.33333333333333331</v>
      </c>
      <c r="F356">
        <v>0</v>
      </c>
      <c r="G356">
        <v>0.46666666666666662</v>
      </c>
    </row>
    <row r="357" spans="1:7" x14ac:dyDescent="0.15">
      <c r="A357" t="str">
        <f>HYPERLINK("./new_k5/query_cmdrels_weight_analyze/0.6_0.1_0.3/ul_136884.xlsx","ul_136884")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HYPERLINK("./new_k5/query_cmdrels_weight_analyze/0.6_0.1_0.3/ul_138398.xlsx","ul_138398")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HYPERLINK("./new_k5/query_cmdrels_weight_analyze/0.6_0.1_0.3/ul_139271.xlsx","ul_139271")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0.33333333333333331</v>
      </c>
      <c r="F359">
        <v>0.33333333333333331</v>
      </c>
      <c r="G359">
        <v>0.43333333333333329</v>
      </c>
    </row>
    <row r="360" spans="1:7" x14ac:dyDescent="0.15">
      <c r="A360" t="str">
        <f>HYPERLINK("./new_k5/query_cmdrels_weight_analyze/0.6_0.1_0.3/ul_140482.xlsx","ul_140482")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HYPERLINK("./new_k5/query_cmdrels_weight_analyze/0.6_0.1_0.3/ul_14191.xlsx","ul_14191")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0.24444444444444449</v>
      </c>
    </row>
    <row r="362" spans="1:7" x14ac:dyDescent="0.15">
      <c r="A362" t="str">
        <f>HYPERLINK("./new_k5/query_cmdrels_weight_analyze/0.6_0.1_0.3/ul_145929.xlsx","ul_145929")</f>
        <v>ul_145929</v>
      </c>
      <c r="B362">
        <v>0</v>
      </c>
      <c r="C362">
        <v>0</v>
      </c>
      <c r="D362">
        <v>0.16666666666666671</v>
      </c>
      <c r="E362">
        <v>0.16666666666666671</v>
      </c>
      <c r="F362">
        <v>0.16666666666666671</v>
      </c>
      <c r="G362">
        <v>0.3666666666666667</v>
      </c>
    </row>
    <row r="363" spans="1:7" x14ac:dyDescent="0.15">
      <c r="A363" t="str">
        <f>HYPERLINK("./new_k5/query_cmdrels_weight_analyze/0.6_0.1_0.3/ul_148985.xlsx","ul_148985")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HYPERLINK("./new_k5/query_cmdrels_weight_analyze/0.6_0.1_0.3/ul_15405.xlsx","ul_15405")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HYPERLINK("./new_k5/query_cmdrels_weight_analyze/0.6_0.1_0.3/ul_155551.xlsx","ul_155551")</f>
        <v>ul_155551</v>
      </c>
      <c r="B365">
        <v>0</v>
      </c>
      <c r="C365">
        <v>0</v>
      </c>
      <c r="D365">
        <v>0</v>
      </c>
      <c r="E365">
        <v>0.58333333333333326</v>
      </c>
      <c r="F365">
        <v>0</v>
      </c>
      <c r="G365">
        <v>0.58333333333333326</v>
      </c>
    </row>
    <row r="366" spans="1:7" x14ac:dyDescent="0.15">
      <c r="A366" t="str">
        <f>HYPERLINK("./new_k5/query_cmdrels_weight_analyze/0.6_0.1_0.3/ul_159672.xlsx","ul_159672")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HYPERLINK("./new_k5/query_cmdrels_weight_analyze/0.6_0.1_0.3/ul_163845.xlsx","ul_163845")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HYPERLINK("./new_k5/query_cmdrels_weight_analyze/0.6_0.1_0.3/ul_16407.xlsx","ul_16407")</f>
        <v>ul_16407</v>
      </c>
      <c r="B368">
        <v>0.5</v>
      </c>
      <c r="C368">
        <v>0</v>
      </c>
      <c r="D368">
        <v>0.5</v>
      </c>
      <c r="E368">
        <v>0.25</v>
      </c>
      <c r="F368">
        <v>0.75</v>
      </c>
      <c r="G368">
        <v>0.25</v>
      </c>
    </row>
    <row r="369" spans="1:7" x14ac:dyDescent="0.15">
      <c r="A369" t="str">
        <f>HYPERLINK("./new_k5/query_cmdrels_weight_analyze/0.6_0.1_0.3/ul_166558.xlsx","ul_166558")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HYPERLINK("./new_k5/query_cmdrels_weight_analyze/0.6_0.1_0.3/ul_171314.xlsx","ul_171314")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0.35</v>
      </c>
    </row>
    <row r="371" spans="1:7" x14ac:dyDescent="0.15">
      <c r="A371" t="str">
        <f>HYPERLINK("./new_k5/query_cmdrels_weight_analyze/0.6_0.1_0.3/ul_182032.xlsx","ul_182032")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HYPERLINK("./new_k5/query_cmdrels_weight_analyze/0.6_0.1_0.3/ul_19344.xlsx","ul_19344")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HYPERLINK("./new_k5/query_cmdrels_weight_analyze/0.6_0.1_0.3/ul_19369.xlsx","ul_19369")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HYPERLINK("./new_k5/query_cmdrels_weight_analyze/0.6_0.1_0.3/ul_19485.xlsx","ul_19485")</f>
        <v>ul_19485</v>
      </c>
      <c r="B374">
        <v>0</v>
      </c>
      <c r="C374">
        <v>0</v>
      </c>
      <c r="D374">
        <v>0</v>
      </c>
      <c r="E374">
        <v>0.33333333333333331</v>
      </c>
      <c r="F374">
        <v>0</v>
      </c>
      <c r="G374">
        <v>0.33333333333333331</v>
      </c>
    </row>
    <row r="375" spans="1:7" x14ac:dyDescent="0.15">
      <c r="A375" t="str">
        <f>HYPERLINK("./new_k5/query_cmdrels_weight_analyze/0.6_0.1_0.3/ul_20370.xlsx","ul_20370")</f>
        <v>ul_20370</v>
      </c>
      <c r="B375">
        <v>0</v>
      </c>
      <c r="C375">
        <v>0</v>
      </c>
      <c r="D375">
        <v>0</v>
      </c>
      <c r="E375">
        <v>0.16666666666666671</v>
      </c>
      <c r="F375">
        <v>0</v>
      </c>
      <c r="G375">
        <v>0.16666666666666671</v>
      </c>
    </row>
    <row r="376" spans="1:7" x14ac:dyDescent="0.15">
      <c r="A376" t="str">
        <f>HYPERLINK("./new_k5/query_cmdrels_weight_analyze/0.6_0.1_0.3/ul_211817.xlsx","ul_211817")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HYPERLINK("./new_k5/query_cmdrels_weight_analyze/0.6_0.1_0.3/ul_212925.xlsx","ul_212925")</f>
        <v>ul_212925</v>
      </c>
      <c r="B377">
        <v>0</v>
      </c>
      <c r="C377">
        <v>0</v>
      </c>
      <c r="D377">
        <v>0</v>
      </c>
      <c r="E377">
        <v>0.5</v>
      </c>
      <c r="F377">
        <v>0</v>
      </c>
      <c r="G377">
        <v>0.5</v>
      </c>
    </row>
    <row r="378" spans="1:7" x14ac:dyDescent="0.15">
      <c r="A378" t="str">
        <f>HYPERLINK("./new_k5/query_cmdrels_weight_analyze/0.6_0.1_0.3/ul_21471.xlsx","ul_21471")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HYPERLINK("./new_k5/query_cmdrels_weight_analyze/0.6_0.1_0.3/ul_22545.xlsx","ul_22545")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HYPERLINK("./new_k5/query_cmdrels_weight_analyze/0.6_0.1_0.3/ul_230481.xlsx","ul_230481")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HYPERLINK("./new_k5/query_cmdrels_weight_analyze/0.6_0.1_0.3/ul_230673.xlsx","ul_230673")</f>
        <v>ul_230673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0.125</v>
      </c>
    </row>
    <row r="382" spans="1:7" x14ac:dyDescent="0.15">
      <c r="A382" t="str">
        <f>HYPERLINK("./new_k5/query_cmdrels_weight_analyze/0.6_0.1_0.3/ul_230800.xlsx","ul_230800")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HYPERLINK("./new_k5/query_cmdrels_weight_analyze/0.6_0.1_0.3/ul_232384.xlsx","ul_232384")</f>
        <v>ul_232384</v>
      </c>
      <c r="B383">
        <v>0</v>
      </c>
      <c r="C383">
        <v>0.5</v>
      </c>
      <c r="D383">
        <v>0</v>
      </c>
      <c r="E383">
        <v>0.83333333333333326</v>
      </c>
      <c r="F383">
        <v>0</v>
      </c>
      <c r="G383">
        <v>0.83333333333333326</v>
      </c>
    </row>
    <row r="384" spans="1:7" x14ac:dyDescent="0.15">
      <c r="A384" t="str">
        <f>HYPERLINK("./new_k5/query_cmdrels_weight_analyze/0.6_0.1_0.3/ul_24441.xlsx","ul_24441")</f>
        <v>ul_24441</v>
      </c>
      <c r="B384">
        <v>0</v>
      </c>
      <c r="C384">
        <v>0</v>
      </c>
      <c r="D384">
        <v>0</v>
      </c>
      <c r="E384">
        <v>0.25</v>
      </c>
      <c r="F384">
        <v>0</v>
      </c>
      <c r="G384">
        <v>0.25</v>
      </c>
    </row>
    <row r="385" spans="1:7" x14ac:dyDescent="0.15">
      <c r="A385" t="str">
        <f>HYPERLINK("./new_k5/query_cmdrels_weight_analyze/0.6_0.1_0.3/ul_246535.xlsx","ul_246535")</f>
        <v>ul_246535</v>
      </c>
      <c r="B385">
        <v>0.2</v>
      </c>
      <c r="C385">
        <v>0.2</v>
      </c>
      <c r="D385">
        <v>0.2</v>
      </c>
      <c r="E385">
        <v>0.2</v>
      </c>
      <c r="F385">
        <v>0.2</v>
      </c>
      <c r="G385">
        <v>0.42</v>
      </c>
    </row>
    <row r="386" spans="1:7" x14ac:dyDescent="0.15">
      <c r="A386" t="str">
        <f>HYPERLINK("./new_k5/query_cmdrels_weight_analyze/0.6_0.1_0.3/ul_259791.xlsx","ul_259791")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HYPERLINK("./new_k5/query_cmdrels_weight_analyze/0.6_0.1_0.3/ul_273971.xlsx","ul_273971")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0.33333333333333331</v>
      </c>
      <c r="F387">
        <v>0.43333333333333329</v>
      </c>
      <c r="G387">
        <v>0.43333333333333329</v>
      </c>
    </row>
    <row r="388" spans="1:7" x14ac:dyDescent="0.15">
      <c r="A388" t="str">
        <f>HYPERLINK("./new_k5/query_cmdrels_weight_analyze/0.6_0.1_0.3/ul_28553.xlsx","ul_28553")</f>
        <v>ul_28553</v>
      </c>
      <c r="B388">
        <v>0.25</v>
      </c>
      <c r="C388">
        <v>0</v>
      </c>
      <c r="D388">
        <v>0.5</v>
      </c>
      <c r="E388">
        <v>0.125</v>
      </c>
      <c r="F388">
        <v>0.5</v>
      </c>
      <c r="G388">
        <v>0.125</v>
      </c>
    </row>
    <row r="389" spans="1:7" x14ac:dyDescent="0.15">
      <c r="A389" t="str">
        <f>HYPERLINK("./new_k5/query_cmdrels_weight_analyze/0.6_0.1_0.3/ul_288521.xlsx","ul_288521")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HYPERLINK("./new_k5/query_cmdrels_weight_analyze/0.6_0.1_0.3/ul_32290.xlsx","ul_32290")</f>
        <v>ul_32290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6.25E-2</v>
      </c>
    </row>
    <row r="391" spans="1:7" x14ac:dyDescent="0.15">
      <c r="A391" t="str">
        <f>HYPERLINK("./new_k5/query_cmdrels_weight_analyze/0.6_0.1_0.3/ul_328882.xlsx","ul_328882")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HYPERLINK("./new_k5/query_cmdrels_weight_analyze/0.6_0.1_0.3/ul_35131.xlsx","ul_35131")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0.66666666666666663</v>
      </c>
    </row>
    <row r="393" spans="1:7" x14ac:dyDescent="0.15">
      <c r="A393" t="str">
        <f>HYPERLINK("./new_k5/query_cmdrels_weight_analyze/0.6_0.1_0.3/ul_35333.xlsx","ul_35333")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HYPERLINK("./new_k5/query_cmdrels_weight_analyze/0.6_0.1_0.3/ul_35711.xlsx","ul_35711")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HYPERLINK("./new_k5/query_cmdrels_weight_analyze/0.6_0.1_0.3/ul_3575.xlsx","ul_3575")</f>
        <v>ul_3575</v>
      </c>
      <c r="B395">
        <v>0</v>
      </c>
      <c r="C395">
        <v>0.16666666666666671</v>
      </c>
      <c r="D395">
        <v>8.3333333333333329E-2</v>
      </c>
      <c r="E395">
        <v>0.16666666666666671</v>
      </c>
      <c r="F395">
        <v>8.3333333333333329E-2</v>
      </c>
      <c r="G395">
        <v>0.16666666666666671</v>
      </c>
    </row>
    <row r="396" spans="1:7" x14ac:dyDescent="0.15">
      <c r="A396" t="str">
        <f>HYPERLINK("./new_k5/query_cmdrels_weight_analyze/0.6_0.1_0.3/ul_35832.xlsx","ul_35832")</f>
        <v>ul_35832</v>
      </c>
      <c r="B396">
        <v>0.5</v>
      </c>
      <c r="C396">
        <v>0.5</v>
      </c>
      <c r="D396">
        <v>0.5</v>
      </c>
      <c r="E396">
        <v>1</v>
      </c>
      <c r="F396">
        <v>0.5</v>
      </c>
      <c r="G396">
        <v>1</v>
      </c>
    </row>
    <row r="397" spans="1:7" x14ac:dyDescent="0.15">
      <c r="A397" t="str">
        <f>HYPERLINK("./new_k5/query_cmdrels_weight_analyze/0.6_0.1_0.3/ul_370318.xlsx","ul_370318")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0.2857142857142857</v>
      </c>
      <c r="F397">
        <v>0.14285714285714279</v>
      </c>
      <c r="G397">
        <v>0.39285714285714279</v>
      </c>
    </row>
    <row r="398" spans="1:7" x14ac:dyDescent="0.15">
      <c r="A398" t="str">
        <f>HYPERLINK("./new_k5/query_cmdrels_weight_analyze/0.6_0.1_0.3/ul_37329.xlsx","ul_37329")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0.55555555555555547</v>
      </c>
      <c r="F398">
        <v>0.33333333333333331</v>
      </c>
      <c r="G398">
        <v>0.55555555555555547</v>
      </c>
    </row>
    <row r="399" spans="1:7" x14ac:dyDescent="0.15">
      <c r="A399" t="str">
        <f>HYPERLINK("./new_k5/query_cmdrels_weight_analyze/0.6_0.1_0.3/ul_38209.xlsx","ul_38209")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HYPERLINK("./new_k5/query_cmdrels_weight_analyze/0.6_0.1_0.3/ul_41246.xlsx","ul_41246")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HYPERLINK("./new_k5/query_cmdrels_weight_analyze/0.6_0.1_0.3/ul_41362.xlsx","ul_41362")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6.25E-2</v>
      </c>
    </row>
    <row r="402" spans="1:7" x14ac:dyDescent="0.15">
      <c r="A402" t="str">
        <f>HYPERLINK("./new_k5/query_cmdrels_weight_analyze/0.6_0.1_0.3/ul_48200.xlsx","ul_48200")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HYPERLINK("./new_k5/query_cmdrels_weight_analyze/0.6_0.1_0.3/ul_50098.xlsx","ul_50098")</f>
        <v>ul_50098</v>
      </c>
      <c r="B403">
        <v>0</v>
      </c>
      <c r="C403">
        <v>0.1</v>
      </c>
      <c r="D403">
        <v>0.1166666666666667</v>
      </c>
      <c r="E403">
        <v>0.16666666666666671</v>
      </c>
      <c r="F403">
        <v>0.1166666666666667</v>
      </c>
      <c r="G403">
        <v>0.24166666666666661</v>
      </c>
    </row>
    <row r="404" spans="1:7" x14ac:dyDescent="0.15">
      <c r="A404" t="str">
        <f>HYPERLINK("./new_k5/query_cmdrels_weight_analyze/0.6_0.1_0.3/ul_50785.xlsx","ul_50785")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HYPERLINK("./new_k5/query_cmdrels_weight_analyze/0.6_0.1_0.3/ul_5085.xlsx","ul_5085")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HYPERLINK("./new_k5/query_cmdrels_weight_analyze/0.6_0.1_0.3/ul_53737.xlsx","ul_53737")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HYPERLINK("./new_k5/query_cmdrels_weight_analyze/0.6_0.1_0.3/ul_55125.xlsx","ul_55125")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HYPERLINK("./new_k5/query_cmdrels_weight_analyze/0.6_0.1_0.3/ul_56453.xlsx","ul_56453")</f>
        <v>ul_56453</v>
      </c>
      <c r="B408">
        <v>0</v>
      </c>
      <c r="C408">
        <v>0</v>
      </c>
      <c r="D408">
        <v>8.3333333333333329E-2</v>
      </c>
      <c r="E408">
        <v>0.125</v>
      </c>
      <c r="F408">
        <v>8.3333333333333329E-2</v>
      </c>
      <c r="G408">
        <v>0.125</v>
      </c>
    </row>
    <row r="409" spans="1:7" x14ac:dyDescent="0.15">
      <c r="A409" t="str">
        <f>HYPERLINK("./new_k5/query_cmdrels_weight_analyze/0.6_0.1_0.3/ul_63648.xlsx","ul_63648")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HYPERLINK("./new_k5/query_cmdrels_weight_analyze/0.6_0.1_0.3/ul_6402.xlsx","ul_6402")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0.33333333333333331</v>
      </c>
    </row>
    <row r="411" spans="1:7" x14ac:dyDescent="0.15">
      <c r="A411" t="str">
        <f>HYPERLINK("./new_k5/query_cmdrels_weight_analyze/0.6_0.1_0.3/ul_65106.xlsx","ul_65106")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0.91666666666666663</v>
      </c>
    </row>
    <row r="412" spans="1:7" x14ac:dyDescent="0.15">
      <c r="A412" t="str">
        <f>HYPERLINK("./new_k5/query_cmdrels_weight_analyze/0.6_0.1_0.3/ul_65932.xlsx","ul_65932")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HYPERLINK("./new_k5/query_cmdrels_weight_analyze/0.6_0.1_0.3/ul_6596.xlsx","ul_6596")</f>
        <v>ul_6596</v>
      </c>
      <c r="B413">
        <v>0.2</v>
      </c>
      <c r="C413">
        <v>0.2</v>
      </c>
      <c r="D413">
        <v>0.6</v>
      </c>
      <c r="E413">
        <v>0.6</v>
      </c>
      <c r="F413">
        <v>0.6</v>
      </c>
      <c r="G413">
        <v>0.76</v>
      </c>
    </row>
    <row r="414" spans="1:7" x14ac:dyDescent="0.15">
      <c r="A414" t="str">
        <f>HYPERLINK("./new_k5/query_cmdrels_weight_analyze/0.6_0.1_0.3/ul_67503.xlsx","ul_67503")</f>
        <v>ul_67503</v>
      </c>
      <c r="B414">
        <v>0</v>
      </c>
      <c r="C414">
        <v>0.5</v>
      </c>
      <c r="D414">
        <v>0.25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HYPERLINK("./new_k5/query_cmdrels_weight_analyze/0.6_0.1_0.3/ul_67592.xlsx","ul_67592")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HYPERLINK("./new_k5/query_cmdrels_weight_analyze/0.6_0.1_0.3/ul_70581.xlsx","ul_70581")</f>
        <v>ul_70581</v>
      </c>
      <c r="B416">
        <v>0</v>
      </c>
      <c r="C416">
        <v>0.2</v>
      </c>
      <c r="D416">
        <v>0.1</v>
      </c>
      <c r="E416">
        <v>0.33333333333333331</v>
      </c>
      <c r="F416">
        <v>0.1</v>
      </c>
      <c r="G416">
        <v>0.33333333333333331</v>
      </c>
    </row>
    <row r="417" spans="1:7" x14ac:dyDescent="0.15">
      <c r="A417" t="str">
        <f>HYPERLINK("./new_k5/query_cmdrels_weight_analyze/0.6_0.1_0.3/ul_70614.xlsx","ul_70614")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HYPERLINK("./new_k5/query_cmdrels_weight_analyze/0.6_0.1_0.3/ul_71465.xlsx","ul_71465")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HYPERLINK("./new_k5/query_cmdrels_weight_analyze/0.6_0.1_0.3/ul_7226.xlsx","ul_7226")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0.33333333333333331</v>
      </c>
      <c r="F419">
        <v>0.33333333333333331</v>
      </c>
      <c r="G419">
        <v>0.5</v>
      </c>
    </row>
    <row r="420" spans="1:7" x14ac:dyDescent="0.15">
      <c r="A420" t="str">
        <f>HYPERLINK("./new_k5/query_cmdrels_weight_analyze/0.6_0.1_0.3/ul_78182.xlsx","ul_78182")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HYPERLINK("./new_k5/query_cmdrels_weight_analyze/0.6_0.1_0.3/ul_79678.xlsx","ul_79678")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HYPERLINK("./new_k5/query_cmdrels_weight_analyze/0.6_0.1_0.3/ul_79702.xlsx","ul_79702")</f>
        <v>ul_79702</v>
      </c>
      <c r="B422">
        <v>0</v>
      </c>
      <c r="C422">
        <v>0.33333333333333331</v>
      </c>
      <c r="D422">
        <v>0</v>
      </c>
      <c r="E422">
        <v>0.66666666666666663</v>
      </c>
      <c r="F422">
        <v>0</v>
      </c>
      <c r="G422">
        <v>0.8666666666666667</v>
      </c>
    </row>
    <row r="423" spans="1:7" x14ac:dyDescent="0.15">
      <c r="A423" t="str">
        <f>HYPERLINK("./new_k5/query_cmdrels_weight_analyze/0.6_0.1_0.3/ul_83593.xlsx","ul_83593")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HYPERLINK("./new_k5/query_cmdrels_weight_analyze/0.6_0.1_0.3/ul_84381.xlsx","ul_84381")</f>
        <v>ul_84381</v>
      </c>
      <c r="B424">
        <v>0</v>
      </c>
      <c r="C424">
        <v>0.33333333333333331</v>
      </c>
      <c r="D424">
        <v>0.16666666666666671</v>
      </c>
      <c r="E424">
        <v>0.33333333333333331</v>
      </c>
      <c r="F424">
        <v>0.16666666666666671</v>
      </c>
      <c r="G424">
        <v>0.33333333333333331</v>
      </c>
    </row>
    <row r="425" spans="1:7" x14ac:dyDescent="0.15">
      <c r="A425" t="str">
        <f>HYPERLINK("./new_k5/query_cmdrels_weight_analyze/0.6_0.1_0.3/ul_85180.xlsx","ul_85180")</f>
        <v>ul_85180</v>
      </c>
      <c r="B425">
        <v>0</v>
      </c>
      <c r="C425">
        <v>0</v>
      </c>
      <c r="D425">
        <v>0.16666666666666671</v>
      </c>
      <c r="E425">
        <v>0.16666666666666671</v>
      </c>
      <c r="F425">
        <v>0.16666666666666671</v>
      </c>
      <c r="G425">
        <v>0.3</v>
      </c>
    </row>
    <row r="426" spans="1:7" x14ac:dyDescent="0.15">
      <c r="A426" t="str">
        <f>HYPERLINK("./new_k5/query_cmdrels_weight_analyze/0.6_0.1_0.3/ul_86071.xlsx","ul_86071")</f>
        <v>ul_86071</v>
      </c>
      <c r="B426">
        <v>0</v>
      </c>
      <c r="C426">
        <v>0</v>
      </c>
      <c r="D426">
        <v>0</v>
      </c>
      <c r="E426">
        <v>0.25</v>
      </c>
      <c r="F426">
        <v>0</v>
      </c>
      <c r="G426">
        <v>0.25</v>
      </c>
    </row>
    <row r="427" spans="1:7" x14ac:dyDescent="0.15">
      <c r="A427" t="str">
        <f>HYPERLINK("./new_k5/query_cmdrels_weight_analyze/0.6_0.1_0.3/ul_86729.xlsx","ul_86729")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HYPERLINK("./new_k5/query_cmdrels_weight_analyze/0.6_0.1_0.3/ul_88824.xlsx","ul_88824")</f>
        <v>ul_88824</v>
      </c>
      <c r="B428">
        <v>0</v>
      </c>
      <c r="C428">
        <v>0.33333333333333331</v>
      </c>
      <c r="D428">
        <v>0</v>
      </c>
      <c r="E428">
        <v>0.66666666666666663</v>
      </c>
      <c r="F428">
        <v>0</v>
      </c>
      <c r="G428">
        <v>0.66666666666666663</v>
      </c>
    </row>
    <row r="429" spans="1:7" x14ac:dyDescent="0.15">
      <c r="A429" t="str">
        <f>HYPERLINK("./new_k5/query_cmdrels_weight_analyze/0.6_0.1_0.3/ul_8945.xlsx","ul_8945")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HYPERLINK("./new_k5/query_cmdrels_weight_analyze/0.6_0.1_0.3/ul_89933.xlsx","ul_89933")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HYPERLINK("./new_k5/query_cmdrels_weight_analyze/0.6_0.1_0.3/ul_91297.xlsx","ul_91297")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HYPERLINK("./new_k5/query_cmdrels_weight_analyze/0.6_0.1_0.3/ul_9252.xlsx","ul_9252")</f>
        <v>ul_9252</v>
      </c>
      <c r="B432">
        <v>0</v>
      </c>
      <c r="C432">
        <v>0</v>
      </c>
      <c r="D432">
        <v>0.23333333333333331</v>
      </c>
      <c r="E432">
        <v>6.6666666666666666E-2</v>
      </c>
      <c r="F432">
        <v>0.23333333333333331</v>
      </c>
      <c r="G432">
        <v>0.1466666666666667</v>
      </c>
    </row>
    <row r="433" spans="1:7" x14ac:dyDescent="0.15">
      <c r="A433" t="str">
        <f>HYPERLINK("./new_k5/query_cmdrels_weight_analyze/0.6_0.1_0.3/ul_92560.xlsx","ul_92560")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0.75</v>
      </c>
    </row>
    <row r="434" spans="1:7" x14ac:dyDescent="0.15">
      <c r="A434" t="str">
        <f>HYPERLINK("./new_k5/query_cmdrels_weight_analyze/0.6_0.1_0.3/ul_92799.xlsx","ul_92799")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0.27777777777777768</v>
      </c>
      <c r="F434">
        <v>0.53611111111111109</v>
      </c>
      <c r="G434">
        <v>0.53611111111111109</v>
      </c>
    </row>
    <row r="435" spans="1:7" x14ac:dyDescent="0.15">
      <c r="A435" t="str">
        <f>HYPERLINK("./new_k5/query_cmdrels_weight_analyze/0.6_0.1_0.3/ul_93139.xlsx","ul_93139")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HYPERLINK("./new_k5/query_cmdrels_weight_analyze/0.6_0.1_0.3/ul_98461.xlsx","ul_98461")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HYPERLINK("./new_k5/query_cmdrels_weight_analyze/0.6_0.2_0.2/au_102733.xlsx","au_102733")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HYPERLINK("./new_k5/query_cmdrels_weight_analyze/0.6_0.2_0.2/au_1029436.xlsx","au_1029436")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HYPERLINK("./new_k5/query_cmdrels_weight_analyze/0.6_0.2_0.2/au_1029502.xlsx","au_1029502")</f>
        <v>au_1029502</v>
      </c>
      <c r="B5">
        <v>0.25</v>
      </c>
      <c r="C5">
        <v>0</v>
      </c>
      <c r="D5">
        <v>0.25</v>
      </c>
      <c r="E5">
        <v>8.3333333333333329E-2</v>
      </c>
      <c r="F5">
        <v>0.375</v>
      </c>
      <c r="G5">
        <v>8.3333333333333329E-2</v>
      </c>
    </row>
    <row r="6" spans="1:7" x14ac:dyDescent="0.15">
      <c r="A6" t="str">
        <f>HYPERLINK("./new_k5/query_cmdrels_weight_analyze/0.6_0.2_0.2/au_1029531.xlsx","au_1029531")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HYPERLINK("./new_k5/query_cmdrels_weight_analyze/0.6_0.2_0.2/au_104542.xlsx","au_104542")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HYPERLINK("./new_k5/query_cmdrels_weight_analyze/0.6_0.2_0.2/au_109070.xlsx","au_109070")</f>
        <v>au_109070</v>
      </c>
      <c r="B8">
        <v>0</v>
      </c>
      <c r="C8">
        <v>0</v>
      </c>
      <c r="D8">
        <v>0.23333333333333331</v>
      </c>
      <c r="E8">
        <v>0</v>
      </c>
      <c r="F8">
        <v>0.3833333333333333</v>
      </c>
      <c r="G8">
        <v>0.05</v>
      </c>
    </row>
    <row r="9" spans="1:7" x14ac:dyDescent="0.15">
      <c r="A9" t="str">
        <f>HYPERLINK("./new_k5/query_cmdrels_weight_analyze/0.6_0.2_0.2/au_109381.xlsx","au_109381")</f>
        <v>au_109381</v>
      </c>
      <c r="B9">
        <v>0</v>
      </c>
      <c r="C9">
        <v>0</v>
      </c>
      <c r="D9">
        <v>0.25</v>
      </c>
      <c r="E9">
        <v>0.25</v>
      </c>
      <c r="F9">
        <v>0.25</v>
      </c>
      <c r="G9">
        <v>0.25</v>
      </c>
    </row>
    <row r="10" spans="1:7" x14ac:dyDescent="0.15">
      <c r="A10" t="str">
        <f>HYPERLINK("./new_k5/query_cmdrels_weight_analyze/0.6_0.2_0.2/au_110477.xlsx","au_110477")</f>
        <v>au_110477</v>
      </c>
      <c r="B10">
        <v>0.25</v>
      </c>
      <c r="C10">
        <v>0.25</v>
      </c>
      <c r="D10">
        <v>0.5</v>
      </c>
      <c r="E10">
        <v>0.75</v>
      </c>
      <c r="F10">
        <v>0.5</v>
      </c>
      <c r="G10">
        <v>0.75</v>
      </c>
    </row>
    <row r="11" spans="1:7" x14ac:dyDescent="0.15">
      <c r="A11" t="str">
        <f>HYPERLINK("./new_k5/query_cmdrels_weight_analyze/0.6_0.2_0.2/au_111678.xlsx","au_111678")</f>
        <v>au_111678</v>
      </c>
      <c r="B11">
        <v>0</v>
      </c>
      <c r="C11">
        <v>0.33333333333333331</v>
      </c>
      <c r="D11">
        <v>0.1111111111111111</v>
      </c>
      <c r="E11">
        <v>0.33333333333333331</v>
      </c>
      <c r="F11">
        <v>0.1111111111111111</v>
      </c>
      <c r="G11">
        <v>0.33333333333333331</v>
      </c>
    </row>
    <row r="12" spans="1:7" x14ac:dyDescent="0.15">
      <c r="A12" t="str">
        <f>HYPERLINK("./new_k5/query_cmdrels_weight_analyze/0.6_0.2_0.2/au_112512.xlsx","au_112512")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HYPERLINK("./new_k5/query_cmdrels_weight_analyze/0.6_0.2_0.2/au_115369.xlsx","au_115369")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HYPERLINK("./new_k5/query_cmdrels_weight_analyze/0.6_0.2_0.2/au_11789.xlsx","au_11789")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HYPERLINK("./new_k5/query_cmdrels_weight_analyze/0.6_0.2_0.2/au_117950.xlsx","au_117950")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0.125</v>
      </c>
    </row>
    <row r="16" spans="1:7" x14ac:dyDescent="0.15">
      <c r="A16" t="str">
        <f>HYPERLINK("./new_k5/query_cmdrels_weight_analyze/0.6_0.2_0.2/au_122113.xlsx","au_122113")</f>
        <v>au_122113</v>
      </c>
      <c r="B16">
        <v>0.25</v>
      </c>
      <c r="C16">
        <v>0</v>
      </c>
      <c r="D16">
        <v>0.25</v>
      </c>
      <c r="E16">
        <v>8.3333333333333329E-2</v>
      </c>
      <c r="F16">
        <v>0.25</v>
      </c>
      <c r="G16">
        <v>0.20833333333333329</v>
      </c>
    </row>
    <row r="17" spans="1:7" x14ac:dyDescent="0.15">
      <c r="A17" t="str">
        <f>HYPERLINK("./new_k5/query_cmdrels_weight_analyze/0.6_0.2_0.2/au_123798.xlsx","au_123798")</f>
        <v>au_123798</v>
      </c>
      <c r="B17">
        <v>0</v>
      </c>
      <c r="C17">
        <v>0</v>
      </c>
      <c r="D17">
        <v>5.5555555555555552E-2</v>
      </c>
      <c r="E17">
        <v>8.3333333333333329E-2</v>
      </c>
      <c r="F17">
        <v>0.23888888888888879</v>
      </c>
      <c r="G17">
        <v>0.26666666666666672</v>
      </c>
    </row>
    <row r="18" spans="1:7" x14ac:dyDescent="0.15">
      <c r="A18" t="str">
        <f>HYPERLINK("./new_k5/query_cmdrels_weight_analyze/0.6_0.2_0.2/au_125257.xlsx","au_125257")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HYPERLINK("./new_k5/query_cmdrels_weight_analyze/0.6_0.2_0.2/au_126153.xlsx","au_126153")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0.33333333333333331</v>
      </c>
      <c r="F19">
        <v>0.45833333333333331</v>
      </c>
      <c r="G19">
        <v>0.43333333333333329</v>
      </c>
    </row>
    <row r="20" spans="1:7" x14ac:dyDescent="0.15">
      <c r="A20" t="str">
        <f>HYPERLINK("./new_k5/query_cmdrels_weight_analyze/0.6_0.2_0.2/au_127326.xlsx","au_127326")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HYPERLINK("./new_k5/query_cmdrels_weight_analyze/0.6_0.2_0.2/au_128463.xlsx","au_128463")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HYPERLINK("./new_k5/query_cmdrels_weight_analyze/0.6_0.2_0.2/au_130393.xlsx","au_130393")</f>
        <v>au_130393</v>
      </c>
      <c r="B22">
        <v>0</v>
      </c>
      <c r="C22">
        <v>0</v>
      </c>
      <c r="D22">
        <v>0.125</v>
      </c>
      <c r="E22">
        <v>0.125</v>
      </c>
      <c r="F22">
        <v>0.125</v>
      </c>
      <c r="G22">
        <v>0.25</v>
      </c>
    </row>
    <row r="23" spans="1:7" x14ac:dyDescent="0.15">
      <c r="A23" t="str">
        <f>HYPERLINK("./new_k5/query_cmdrels_weight_analyze/0.6_0.2_0.2/au_131570.xlsx","au_131570")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HYPERLINK("./new_k5/query_cmdrels_weight_analyze/0.6_0.2_0.2/au_133318.xlsx","au_133318")</f>
        <v>au_133318</v>
      </c>
      <c r="B24">
        <v>0</v>
      </c>
      <c r="C24">
        <v>0.25</v>
      </c>
      <c r="D24">
        <v>0</v>
      </c>
      <c r="E24">
        <v>0.41666666666666657</v>
      </c>
      <c r="F24">
        <v>0</v>
      </c>
      <c r="G24">
        <v>0.41666666666666657</v>
      </c>
    </row>
    <row r="25" spans="1:7" x14ac:dyDescent="0.15">
      <c r="A25" t="str">
        <f>HYPERLINK("./new_k5/query_cmdrels_weight_analyze/0.6_0.2_0.2/au_133343.xlsx","au_133343")</f>
        <v>au_133343</v>
      </c>
      <c r="B25">
        <v>0</v>
      </c>
      <c r="C25">
        <v>0.33333333333333331</v>
      </c>
      <c r="D25">
        <v>0</v>
      </c>
      <c r="E25">
        <v>0.55555555555555547</v>
      </c>
      <c r="F25">
        <v>0</v>
      </c>
      <c r="G25">
        <v>0.55555555555555547</v>
      </c>
    </row>
    <row r="26" spans="1:7" x14ac:dyDescent="0.15">
      <c r="A26" t="str">
        <f>HYPERLINK("./new_k5/query_cmdrels_weight_analyze/0.6_0.2_0.2/au_133389.xlsx","au_133389")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HYPERLINK("./new_k5/query_cmdrels_weight_analyze/0.6_0.2_0.2/au_141277.xlsx","au_141277")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HYPERLINK("./new_k5/query_cmdrels_weight_analyze/0.6_0.2_0.2/au_143819.xlsx","au_143819")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HYPERLINK("./new_k5/query_cmdrels_weight_analyze/0.6_0.2_0.2/au_145935.xlsx","au_145935")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HYPERLINK("./new_k5/query_cmdrels_weight_analyze/0.6_0.2_0.2/au_147241.xlsx","au_147241")</f>
        <v>au_147241</v>
      </c>
      <c r="B30">
        <v>0</v>
      </c>
      <c r="C30">
        <v>0</v>
      </c>
      <c r="D30">
        <v>0.29166666666666657</v>
      </c>
      <c r="E30">
        <v>0.29166666666666657</v>
      </c>
      <c r="F30">
        <v>0.29166666666666657</v>
      </c>
      <c r="G30">
        <v>0.47916666666666657</v>
      </c>
    </row>
    <row r="31" spans="1:7" x14ac:dyDescent="0.15">
      <c r="A31" t="str">
        <f>HYPERLINK("./new_k5/query_cmdrels_weight_analyze/0.6_0.2_0.2/au_147800.xlsx","au_147800")</f>
        <v>au_147800</v>
      </c>
      <c r="B31">
        <v>0</v>
      </c>
      <c r="C31">
        <v>0.33333333333333331</v>
      </c>
      <c r="D31">
        <v>0.1111111111111111</v>
      </c>
      <c r="E31">
        <v>0.33333333333333331</v>
      </c>
      <c r="F31">
        <v>0.1111111111111111</v>
      </c>
      <c r="G31">
        <v>0.33333333333333331</v>
      </c>
    </row>
    <row r="32" spans="1:7" x14ac:dyDescent="0.15">
      <c r="A32" t="str">
        <f>HYPERLINK("./new_k5/query_cmdrels_weight_analyze/0.6_0.2_0.2/au_148321.xlsx","au_148321")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0.40277777777777768</v>
      </c>
    </row>
    <row r="33" spans="1:7" x14ac:dyDescent="0.15">
      <c r="A33" t="str">
        <f>HYPERLINK("./new_k5/query_cmdrels_weight_analyze/0.6_0.2_0.2/au_148638.xlsx","au_148638")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HYPERLINK("./new_k5/query_cmdrels_weight_analyze/0.6_0.2_0.2/au_151049.xlsx","au_151049")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0.55555555555555547</v>
      </c>
      <c r="F34">
        <v>0.66666666666666663</v>
      </c>
      <c r="G34">
        <v>0.55555555555555547</v>
      </c>
    </row>
    <row r="35" spans="1:7" x14ac:dyDescent="0.15">
      <c r="A35" t="str">
        <f>HYPERLINK("./new_k5/query_cmdrels_weight_analyze/0.6_0.2_0.2/au_151941.xlsx","au_151941")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HYPERLINK("./new_k5/query_cmdrels_weight_analyze/0.6_0.2_0.2/au_152297.xlsx","au_152297")</f>
        <v>au_152297</v>
      </c>
      <c r="B36">
        <v>0</v>
      </c>
      <c r="C36">
        <v>0</v>
      </c>
      <c r="D36">
        <v>7.1428571428571425E-2</v>
      </c>
      <c r="E36">
        <v>7.1428571428571425E-2</v>
      </c>
      <c r="F36">
        <v>7.1428571428571425E-2</v>
      </c>
      <c r="G36">
        <v>0.22857142857142859</v>
      </c>
    </row>
    <row r="37" spans="1:7" x14ac:dyDescent="0.15">
      <c r="A37" t="str">
        <f>HYPERLINK("./new_k5/query_cmdrels_weight_analyze/0.6_0.2_0.2/au_153976.xlsx","au_153976")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0.27777777777777768</v>
      </c>
      <c r="F37">
        <v>0.33333333333333331</v>
      </c>
      <c r="G37">
        <v>0.40277777777777768</v>
      </c>
    </row>
    <row r="38" spans="1:7" x14ac:dyDescent="0.15">
      <c r="A38" t="str">
        <f>HYPERLINK("./new_k5/query_cmdrels_weight_analyze/0.6_0.2_0.2/au_154431.xlsx","au_154431")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HYPERLINK("./new_k5/query_cmdrels_weight_analyze/0.6_0.2_0.2/au_159708.xlsx","au_159708")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0.33333333333333331</v>
      </c>
      <c r="F39">
        <v>0.33333333333333331</v>
      </c>
      <c r="G39">
        <v>0.33333333333333331</v>
      </c>
    </row>
    <row r="40" spans="1:7" x14ac:dyDescent="0.15">
      <c r="A40" t="str">
        <f>HYPERLINK("./new_k5/query_cmdrels_weight_analyze/0.6_0.2_0.2/au_160869.xlsx","au_160869")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HYPERLINK("./new_k5/query_cmdrels_weight_analyze/0.6_0.2_0.2/au_161313.xlsx","au_161313")</f>
        <v>au_161313</v>
      </c>
      <c r="B41">
        <v>0.5</v>
      </c>
      <c r="C41">
        <v>0</v>
      </c>
      <c r="D41">
        <v>0.5</v>
      </c>
      <c r="E41">
        <v>0.16666666666666671</v>
      </c>
      <c r="F41">
        <v>0.5</v>
      </c>
      <c r="G41">
        <v>0.16666666666666671</v>
      </c>
    </row>
    <row r="42" spans="1:7" x14ac:dyDescent="0.15">
      <c r="A42" t="str">
        <f>HYPERLINK("./new_k5/query_cmdrels_weight_analyze/0.6_0.2_0.2/au_162075.xlsx","au_162075")</f>
        <v>au_162075</v>
      </c>
      <c r="B42">
        <v>0.25</v>
      </c>
      <c r="C42">
        <v>0.25</v>
      </c>
      <c r="D42">
        <v>0.5</v>
      </c>
      <c r="E42">
        <v>0.5</v>
      </c>
      <c r="F42">
        <v>0.5</v>
      </c>
      <c r="G42">
        <v>0.5</v>
      </c>
    </row>
    <row r="43" spans="1:7" x14ac:dyDescent="0.15">
      <c r="A43" t="str">
        <f>HYPERLINK("./new_k5/query_cmdrels_weight_analyze/0.6_0.2_0.2/au_16277.xlsx","au_16277")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0.83333333333333337</v>
      </c>
    </row>
    <row r="44" spans="1:7" x14ac:dyDescent="0.15">
      <c r="A44" t="str">
        <f>HYPERLINK("./new_k5/query_cmdrels_weight_analyze/0.6_0.2_0.2/au_163155.xlsx","au_163155")</f>
        <v>au_163155</v>
      </c>
      <c r="B44">
        <v>0.125</v>
      </c>
      <c r="C44">
        <v>0.125</v>
      </c>
      <c r="D44">
        <v>0.375</v>
      </c>
      <c r="E44">
        <v>0.375</v>
      </c>
      <c r="F44">
        <v>0.5</v>
      </c>
      <c r="G44">
        <v>0.5</v>
      </c>
    </row>
    <row r="45" spans="1:7" x14ac:dyDescent="0.15">
      <c r="A45" t="str">
        <f>HYPERLINK("./new_k5/query_cmdrels_weight_analyze/0.6_0.2_0.2/au_164473.xlsx","au_164473")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HYPERLINK("./new_k5/query_cmdrels_weight_analyze/0.6_0.2_0.2/au_16584.xlsx","au_16584")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0.15151515151515149</v>
      </c>
      <c r="F46">
        <v>0.13636363636363641</v>
      </c>
      <c r="G46">
        <v>0.2196969696969697</v>
      </c>
    </row>
    <row r="47" spans="1:7" x14ac:dyDescent="0.15">
      <c r="A47" t="str">
        <f>HYPERLINK("./new_k5/query_cmdrels_weight_analyze/0.6_0.2_0.2/au_166420.xlsx","au_166420")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HYPERLINK("./new_k5/query_cmdrels_weight_analyze/0.6_0.2_0.2/au_169473.xlsx","au_169473")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0.16666666666666671</v>
      </c>
      <c r="F48">
        <v>0.43333333333333329</v>
      </c>
      <c r="G48">
        <v>0.35</v>
      </c>
    </row>
    <row r="49" spans="1:7" x14ac:dyDescent="0.15">
      <c r="A49" t="str">
        <f>HYPERLINK("./new_k5/query_cmdrels_weight_analyze/0.6_0.2_0.2/au_169516.xlsx","au_169516")</f>
        <v>au_169516</v>
      </c>
      <c r="B49">
        <v>0.25</v>
      </c>
      <c r="C49">
        <v>0.25</v>
      </c>
      <c r="D49">
        <v>0.25</v>
      </c>
      <c r="E49">
        <v>0.5</v>
      </c>
      <c r="F49">
        <v>0.25</v>
      </c>
      <c r="G49">
        <v>0.5</v>
      </c>
    </row>
    <row r="50" spans="1:7" x14ac:dyDescent="0.15">
      <c r="A50" t="str">
        <f>HYPERLINK("./new_k5/query_cmdrels_weight_analyze/0.6_0.2_0.2/au_174292.xlsx","au_174292")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HYPERLINK("./new_k5/query_cmdrels_weight_analyze/0.6_0.2_0.2/au_178481.xlsx","au_178481")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HYPERLINK("./new_k5/query_cmdrels_weight_analyze/0.6_0.2_0.2/au_180925.xlsx","au_180925")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HYPERLINK("./new_k5/query_cmdrels_weight_analyze/0.6_0.2_0.2/au_187888.xlsx","au_187888")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HYPERLINK("./new_k5/query_cmdrels_weight_analyze/0.6_0.2_0.2/au_191390.xlsx","au_191390")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HYPERLINK("./new_k5/query_cmdrels_weight_analyze/0.6_0.2_0.2/au_192798.xlsx","au_192798")</f>
        <v>au_192798</v>
      </c>
      <c r="B55">
        <v>0</v>
      </c>
      <c r="C55">
        <v>0</v>
      </c>
      <c r="D55">
        <v>0</v>
      </c>
      <c r="E55">
        <v>0.5</v>
      </c>
      <c r="F55">
        <v>0</v>
      </c>
      <c r="G55">
        <v>0.5</v>
      </c>
    </row>
    <row r="56" spans="1:7" x14ac:dyDescent="0.15">
      <c r="A56" t="str">
        <f>HYPERLINK("./new_k5/query_cmdrels_weight_analyze/0.6_0.2_0.2/au_201775.xlsx","au_201775")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0.55555555555555547</v>
      </c>
      <c r="F56">
        <v>0.66666666666666663</v>
      </c>
      <c r="G56">
        <v>0.75555555555555554</v>
      </c>
    </row>
    <row r="57" spans="1:7" x14ac:dyDescent="0.15">
      <c r="A57" t="str">
        <f>HYPERLINK("./new_k5/query_cmdrels_weight_analyze/0.6_0.2_0.2/au_204166.xlsx","au_204166")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HYPERLINK("./new_k5/query_cmdrels_weight_analyze/0.6_0.2_0.2/au_207447.xlsx","au_207447")</f>
        <v>au_207447</v>
      </c>
      <c r="B58">
        <v>0.33333333333333331</v>
      </c>
      <c r="C58">
        <v>0</v>
      </c>
      <c r="D58">
        <v>0.33333333333333331</v>
      </c>
      <c r="E58">
        <v>0.16666666666666671</v>
      </c>
      <c r="F58">
        <v>0.33333333333333331</v>
      </c>
      <c r="G58">
        <v>0.33333333333333331</v>
      </c>
    </row>
    <row r="59" spans="1:7" x14ac:dyDescent="0.15">
      <c r="A59" t="str">
        <f>HYPERLINK("./new_k5/query_cmdrels_weight_analyze/0.6_0.2_0.2/au_210680.xlsx","au_210680")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HYPERLINK("./new_k5/query_cmdrels_weight_analyze/0.6_0.2_0.2/au_214246.xlsx","au_214246")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HYPERLINK("./new_k5/query_cmdrels_weight_analyze/0.6_0.2_0.2/au_214643.xlsx","au_214643")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HYPERLINK("./new_k5/query_cmdrels_weight_analyze/0.6_0.2_0.2/au_2194.xlsx","au_2194")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HYPERLINK("./new_k5/query_cmdrels_weight_analyze/0.6_0.2_0.2/au_221962.xlsx","au_221962")</f>
        <v>au_221962</v>
      </c>
      <c r="B63">
        <v>0</v>
      </c>
      <c r="C63">
        <v>0</v>
      </c>
      <c r="D63">
        <v>5.5555555555555552E-2</v>
      </c>
      <c r="E63">
        <v>8.3333333333333329E-2</v>
      </c>
      <c r="F63">
        <v>0.1388888888888889</v>
      </c>
      <c r="G63">
        <v>0.26666666666666672</v>
      </c>
    </row>
    <row r="64" spans="1:7" x14ac:dyDescent="0.15">
      <c r="A64" t="str">
        <f>HYPERLINK("./new_k5/query_cmdrels_weight_analyze/0.6_0.2_0.2/au_22608.xlsx","au_22608")</f>
        <v>au_22608</v>
      </c>
      <c r="B64">
        <v>0.33333333333333331</v>
      </c>
      <c r="C64">
        <v>0</v>
      </c>
      <c r="D64">
        <v>0.33333333333333331</v>
      </c>
      <c r="E64">
        <v>0.16666666666666671</v>
      </c>
      <c r="F64">
        <v>0.33333333333333331</v>
      </c>
      <c r="G64">
        <v>0.33333333333333331</v>
      </c>
    </row>
    <row r="65" spans="1:7" x14ac:dyDescent="0.15">
      <c r="A65" t="str">
        <f>HYPERLINK("./new_k5/query_cmdrels_weight_analyze/0.6_0.2_0.2/au_230698.xlsx","au_230698")</f>
        <v>au_230698</v>
      </c>
      <c r="B65">
        <v>0.125</v>
      </c>
      <c r="C65">
        <v>0.125</v>
      </c>
      <c r="D65">
        <v>0.25</v>
      </c>
      <c r="E65">
        <v>0.20833333333333329</v>
      </c>
      <c r="F65">
        <v>0.32500000000000001</v>
      </c>
      <c r="G65">
        <v>0.30208333333333331</v>
      </c>
    </row>
    <row r="66" spans="1:7" x14ac:dyDescent="0.15">
      <c r="A66" t="str">
        <f>HYPERLINK("./new_k5/query_cmdrels_weight_analyze/0.6_0.2_0.2/au_232442.xlsx","au_232442")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HYPERLINK("./new_k5/query_cmdrels_weight_analyze/0.6_0.2_0.2/au_233378.xlsx","au_233378")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HYPERLINK("./new_k5/query_cmdrels_weight_analyze/0.6_0.2_0.2/au_24027.xlsx","au_24027")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HYPERLINK("./new_k5/query_cmdrels_weight_analyze/0.6_0.2_0.2/au_246647.xlsx","au_246647")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HYPERLINK("./new_k5/query_cmdrels_weight_analyze/0.6_0.2_0.2/au_254424.xlsx","au_254424")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HYPERLINK("./new_k5/query_cmdrels_weight_analyze/0.6_0.2_0.2/au_255890.xlsx","au_255890")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HYPERLINK("./new_k5/query_cmdrels_weight_analyze/0.6_0.2_0.2/au_257248.xlsx","au_257248")</f>
        <v>au_257248</v>
      </c>
      <c r="B72">
        <v>0</v>
      </c>
      <c r="C72">
        <v>0.14285714285714279</v>
      </c>
      <c r="D72">
        <v>0.16666666666666671</v>
      </c>
      <c r="E72">
        <v>0.23809523809523811</v>
      </c>
      <c r="F72">
        <v>0.25238095238095237</v>
      </c>
      <c r="G72">
        <v>0.32380952380952382</v>
      </c>
    </row>
    <row r="73" spans="1:7" x14ac:dyDescent="0.15">
      <c r="A73" t="str">
        <f>HYPERLINK("./new_k5/query_cmdrels_weight_analyze/0.6_0.2_0.2/au_259354.xlsx","au_259354")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0.42857142857142849</v>
      </c>
    </row>
    <row r="74" spans="1:7" x14ac:dyDescent="0.15">
      <c r="A74" t="str">
        <f>HYPERLINK("./new_k5/query_cmdrels_weight_analyze/0.6_0.2_0.2/au_263378.xlsx","au_263378")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0.47499999999999998</v>
      </c>
    </row>
    <row r="75" spans="1:7" x14ac:dyDescent="0.15">
      <c r="A75" t="str">
        <f>HYPERLINK("./new_k5/query_cmdrels_weight_analyze/0.6_0.2_0.2/au_264215.xlsx","au_264215")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HYPERLINK("./new_k5/query_cmdrels_weight_analyze/0.6_0.2_0.2/au_265176.xlsx","au_265176")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HYPERLINK("./new_k5/query_cmdrels_weight_analyze/0.6_0.2_0.2/au_275704.xlsx","au_275704")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HYPERLINK("./new_k5/query_cmdrels_weight_analyze/0.6_0.2_0.2/au_276669.xlsx","au_276669")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HYPERLINK("./new_k5/query_cmdrels_weight_analyze/0.6_0.2_0.2/au_277565.xlsx","au_277565")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HYPERLINK("./new_k5/query_cmdrels_weight_analyze/0.6_0.2_0.2/au_278403.xlsx","au_278403")</f>
        <v>au_278403</v>
      </c>
      <c r="B80">
        <v>0</v>
      </c>
      <c r="C80">
        <v>0</v>
      </c>
      <c r="D80">
        <v>8.3333333333333329E-2</v>
      </c>
      <c r="E80">
        <v>0.125</v>
      </c>
      <c r="F80">
        <v>0.20833333333333329</v>
      </c>
      <c r="G80">
        <v>0.25</v>
      </c>
    </row>
    <row r="81" spans="1:7" x14ac:dyDescent="0.15">
      <c r="A81" t="str">
        <f>HYPERLINK("./new_k5/query_cmdrels_weight_analyze/0.6_0.2_0.2/au_28039.xlsx","au_28039")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HYPERLINK("./new_k5/query_cmdrels_weight_analyze/0.6_0.2_0.2/au_281509.xlsx","au_281509")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HYPERLINK("./new_k5/query_cmdrels_weight_analyze/0.6_0.2_0.2/au_282806.xlsx","au_282806")</f>
        <v>au_282806</v>
      </c>
      <c r="B83">
        <v>0</v>
      </c>
      <c r="C83">
        <v>0.33333333333333331</v>
      </c>
      <c r="D83">
        <v>0.38888888888888878</v>
      </c>
      <c r="E83">
        <v>0.33333333333333331</v>
      </c>
      <c r="F83">
        <v>0.38888888888888878</v>
      </c>
      <c r="G83">
        <v>0.70000000000000007</v>
      </c>
    </row>
    <row r="84" spans="1:7" x14ac:dyDescent="0.15">
      <c r="A84" t="str">
        <f>HYPERLINK("./new_k5/query_cmdrels_weight_analyze/0.6_0.2_0.2/au_283559.xlsx","au_283559")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HYPERLINK("./new_k5/query_cmdrels_weight_analyze/0.6_0.2_0.2/au_285539.xlsx","au_285539")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HYPERLINK("./new_k5/query_cmdrels_weight_analyze/0.6_0.2_0.2/au_287532.xlsx","au_287532")</f>
        <v>au_287532</v>
      </c>
      <c r="B86">
        <v>0</v>
      </c>
      <c r="C86">
        <v>0</v>
      </c>
      <c r="D86">
        <v>0</v>
      </c>
      <c r="E86">
        <v>8.3333333333333329E-2</v>
      </c>
      <c r="F86">
        <v>0</v>
      </c>
      <c r="G86">
        <v>8.3333333333333329E-2</v>
      </c>
    </row>
    <row r="87" spans="1:7" x14ac:dyDescent="0.15">
      <c r="A87" t="str">
        <f>HYPERLINK("./new_k5/query_cmdrels_weight_analyze/0.6_0.2_0.2/au_294257.xlsx","au_294257")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HYPERLINK("./new_k5/query_cmdrels_weight_analyze/0.6_0.2_0.2/au_296155.xlsx","au_296155")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HYPERLINK("./new_k5/query_cmdrels_weight_analyze/0.6_0.2_0.2/au_299975.xlsx","au_299975")</f>
        <v>au_299975</v>
      </c>
      <c r="B89">
        <v>0.25</v>
      </c>
      <c r="C89">
        <v>0</v>
      </c>
      <c r="D89">
        <v>0.5</v>
      </c>
      <c r="E89">
        <v>8.3333333333333329E-2</v>
      </c>
      <c r="F89">
        <v>0.6875</v>
      </c>
      <c r="G89">
        <v>8.3333333333333329E-2</v>
      </c>
    </row>
    <row r="90" spans="1:7" x14ac:dyDescent="0.15">
      <c r="A90" t="str">
        <f>HYPERLINK("./new_k5/query_cmdrels_weight_analyze/0.6_0.2_0.2/au_301096.xlsx","au_301096")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HYPERLINK("./new_k5/query_cmdrels_weight_analyze/0.6_0.2_0.2/au_303593.xlsx","au_303593")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HYPERLINK("./new_k5/query_cmdrels_weight_analyze/0.6_0.2_0.2/au_303849.xlsx","au_303849")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HYPERLINK("./new_k5/query_cmdrels_weight_analyze/0.6_0.2_0.2/au_307541.xlsx","au_307541")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HYPERLINK("./new_k5/query_cmdrels_weight_analyze/0.6_0.2_0.2/au_307688.xlsx","au_307688")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HYPERLINK("./new_k5/query_cmdrels_weight_analyze/0.6_0.2_0.2/au_309047.xlsx","au_309047")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HYPERLINK("./new_k5/query_cmdrels_weight_analyze/0.6_0.2_0.2/au_311558.xlsx","au_311558")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0.41666666666666657</v>
      </c>
    </row>
    <row r="97" spans="1:7" x14ac:dyDescent="0.15">
      <c r="A97" t="str">
        <f>HYPERLINK("./new_k5/query_cmdrels_weight_analyze/0.6_0.2_0.2/au_318973.xlsx","au_318973")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HYPERLINK("./new_k5/query_cmdrels_weight_analyze/0.6_0.2_0.2/au_3205.xlsx","au_3205")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HYPERLINK("./new_k5/query_cmdrels_weight_analyze/0.6_0.2_0.2/au_323131.xlsx","au_323131")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HYPERLINK("./new_k5/query_cmdrels_weight_analyze/0.6_0.2_0.2/au_323392.xlsx","au_323392")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HYPERLINK("./new_k5/query_cmdrels_weight_analyze/0.6_0.2_0.2/au_325368.xlsx","au_325368")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HYPERLINK("./new_k5/query_cmdrels_weight_analyze/0.6_0.2_0.2/au_328162.xlsx","au_328162")</f>
        <v>au_328162</v>
      </c>
      <c r="B102">
        <v>0.33333333333333331</v>
      </c>
      <c r="C102">
        <v>0.33333333333333331</v>
      </c>
      <c r="D102">
        <v>1</v>
      </c>
      <c r="E102">
        <v>0.55555555555555547</v>
      </c>
      <c r="F102">
        <v>1</v>
      </c>
      <c r="G102">
        <v>0.55555555555555547</v>
      </c>
    </row>
    <row r="103" spans="1:7" x14ac:dyDescent="0.15">
      <c r="A103" t="str">
        <f>HYPERLINK("./new_k5/query_cmdrels_weight_analyze/0.6_0.2_0.2/au_330148.xlsx","au_330148")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HYPERLINK("./new_k5/query_cmdrels_weight_analyze/0.6_0.2_0.2/au_332315.xlsx","au_332315")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HYPERLINK("./new_k5/query_cmdrels_weight_analyze/0.6_0.2_0.2/au_334081.xlsx","au_334081")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HYPERLINK("./new_k5/query_cmdrels_weight_analyze/0.6_0.2_0.2/au_34077.xlsx","au_34077")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0.33333333333333331</v>
      </c>
      <c r="F106">
        <v>0.33333333333333331</v>
      </c>
      <c r="G106">
        <v>0.59166666666666667</v>
      </c>
    </row>
    <row r="107" spans="1:7" x14ac:dyDescent="0.15">
      <c r="A107" t="str">
        <f>HYPERLINK("./new_k5/query_cmdrels_weight_analyze/0.6_0.2_0.2/au_341428.xlsx","au_341428")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HYPERLINK("./new_k5/query_cmdrels_weight_analyze/0.6_0.2_0.2/au_341584.xlsx","au_341584")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HYPERLINK("./new_k5/query_cmdrels_weight_analyze/0.6_0.2_0.2/au_346864.xlsx","au_346864")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0.2857142857142857</v>
      </c>
      <c r="F109">
        <v>0.23809523809523811</v>
      </c>
      <c r="G109">
        <v>0.39285714285714279</v>
      </c>
    </row>
    <row r="110" spans="1:7" x14ac:dyDescent="0.15">
      <c r="A110" t="str">
        <f>HYPERLINK("./new_k5/query_cmdrels_weight_analyze/0.6_0.2_0.2/au_351765.xlsx","au_351765")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0.5</v>
      </c>
    </row>
    <row r="111" spans="1:7" x14ac:dyDescent="0.15">
      <c r="A111" t="str">
        <f>HYPERLINK("./new_k5/query_cmdrels_weight_analyze/0.6_0.2_0.2/au_35922.xlsx","au_35922")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HYPERLINK("./new_k5/query_cmdrels_weight_analyze/0.6_0.2_0.2/au_359856.xlsx","au_359856")</f>
        <v>au_359856</v>
      </c>
      <c r="B112">
        <v>0.25</v>
      </c>
      <c r="C112">
        <v>0.25</v>
      </c>
      <c r="D112">
        <v>0.75</v>
      </c>
      <c r="E112">
        <v>0.5</v>
      </c>
      <c r="F112">
        <v>0.95</v>
      </c>
      <c r="G112">
        <v>0.5</v>
      </c>
    </row>
    <row r="113" spans="1:7" x14ac:dyDescent="0.15">
      <c r="A113" t="str">
        <f>HYPERLINK("./new_k5/query_cmdrels_weight_analyze/0.6_0.2_0.2/au_360423.xlsx","au_360423")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HYPERLINK("./new_k5/query_cmdrels_weight_analyze/0.6_0.2_0.2/au_36287.xlsx","au_36287")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HYPERLINK("./new_k5/query_cmdrels_weight_analyze/0.6_0.2_0.2/au_366742.xlsx","au_366742")</f>
        <v>au_366742</v>
      </c>
      <c r="B115">
        <v>0</v>
      </c>
      <c r="C115">
        <v>0</v>
      </c>
      <c r="D115">
        <v>0</v>
      </c>
      <c r="E115">
        <v>0.125</v>
      </c>
      <c r="F115">
        <v>0</v>
      </c>
      <c r="G115">
        <v>0.25</v>
      </c>
    </row>
    <row r="116" spans="1:7" x14ac:dyDescent="0.15">
      <c r="A116" t="str">
        <f>HYPERLINK("./new_k5/query_cmdrels_weight_analyze/0.6_0.2_0.2/au_377937.xlsx","au_377937")</f>
        <v>au_377937</v>
      </c>
      <c r="B116">
        <v>0.25</v>
      </c>
      <c r="C116">
        <v>0.25</v>
      </c>
      <c r="D116">
        <v>0.5</v>
      </c>
      <c r="E116">
        <v>0.75</v>
      </c>
      <c r="F116">
        <v>0.5</v>
      </c>
      <c r="G116">
        <v>0.75</v>
      </c>
    </row>
    <row r="117" spans="1:7" x14ac:dyDescent="0.15">
      <c r="A117" t="str">
        <f>HYPERLINK("./new_k5/query_cmdrels_weight_analyze/0.6_0.2_0.2/au_383997.xlsx","au_383997")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0.39285714285714279</v>
      </c>
    </row>
    <row r="118" spans="1:7" x14ac:dyDescent="0.15">
      <c r="A118" t="str">
        <f>HYPERLINK("./new_k5/query_cmdrels_weight_analyze/0.6_0.2_0.2/au_3883.xlsx","au_3883")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0.35</v>
      </c>
    </row>
    <row r="119" spans="1:7" x14ac:dyDescent="0.15">
      <c r="A119" t="str">
        <f>HYPERLINK("./new_k5/query_cmdrels_weight_analyze/0.6_0.2_0.2/au_396883.xlsx","au_396883")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HYPERLINK("./new_k5/query_cmdrels_weight_analyze/0.6_0.2_0.2/au_39760.xlsx","au_39760")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HYPERLINK("./new_k5/query_cmdrels_weight_analyze/0.6_0.2_0.2/au_398818.xlsx","au_398818")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HYPERLINK("./new_k5/query_cmdrels_weight_analyze/0.6_0.2_0.2/au_400807.xlsx","au_400807")</f>
        <v>au_400807</v>
      </c>
      <c r="B122">
        <v>0</v>
      </c>
      <c r="C122">
        <v>0.33333333333333331</v>
      </c>
      <c r="D122">
        <v>0.16666666666666671</v>
      </c>
      <c r="E122">
        <v>0.66666666666666663</v>
      </c>
      <c r="F122">
        <v>0.16666666666666671</v>
      </c>
      <c r="G122">
        <v>0.91666666666666663</v>
      </c>
    </row>
    <row r="123" spans="1:7" x14ac:dyDescent="0.15">
      <c r="A123" t="str">
        <f>HYPERLINK("./new_k5/query_cmdrels_weight_analyze/0.6_0.2_0.2/au_408611.xlsx","au_408611")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HYPERLINK("./new_k5/query_cmdrels_weight_analyze/0.6_0.2_0.2/au_414737.xlsx","au_414737")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HYPERLINK("./new_k5/query_cmdrels_weight_analyze/0.6_0.2_0.2/au_420722.xlsx","au_420722")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0.55555555555555547</v>
      </c>
      <c r="F125">
        <v>0.66666666666666663</v>
      </c>
      <c r="G125">
        <v>0.55555555555555547</v>
      </c>
    </row>
    <row r="126" spans="1:7" x14ac:dyDescent="0.15">
      <c r="A126" t="str">
        <f>HYPERLINK("./new_k5/query_cmdrels_weight_analyze/0.6_0.2_0.2/au_423942.xlsx","au_423942")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HYPERLINK("./new_k5/query_cmdrels_weight_analyze/0.6_0.2_0.2/au_430382.xlsx","au_430382")</f>
        <v>au_430382</v>
      </c>
      <c r="B127">
        <v>0</v>
      </c>
      <c r="C127">
        <v>0.25</v>
      </c>
      <c r="D127">
        <v>0.29166666666666657</v>
      </c>
      <c r="E127">
        <v>0.41666666666666657</v>
      </c>
      <c r="F127">
        <v>0.29166666666666657</v>
      </c>
      <c r="G127">
        <v>0.41666666666666657</v>
      </c>
    </row>
    <row r="128" spans="1:7" x14ac:dyDescent="0.15">
      <c r="A128" t="str">
        <f>HYPERLINK("./new_k5/query_cmdrels_weight_analyze/0.6_0.2_0.2/au_432836.xlsx","au_432836")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HYPERLINK("./new_k5/query_cmdrels_weight_analyze/0.6_0.2_0.2/au_440326.xlsx","au_440326")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HYPERLINK("./new_k5/query_cmdrels_weight_analyze/0.6_0.2_0.2/au_442914.xlsx","au_442914")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HYPERLINK("./new_k5/query_cmdrels_weight_analyze/0.6_0.2_0.2/au_443227.xlsx","au_443227")</f>
        <v>au_443227</v>
      </c>
      <c r="B131">
        <v>0.5</v>
      </c>
      <c r="C131">
        <v>0</v>
      </c>
      <c r="D131">
        <v>0.5</v>
      </c>
      <c r="E131">
        <v>0.16666666666666671</v>
      </c>
      <c r="F131">
        <v>0.5</v>
      </c>
      <c r="G131">
        <v>0.16666666666666671</v>
      </c>
    </row>
    <row r="132" spans="1:7" x14ac:dyDescent="0.15">
      <c r="A132" t="str">
        <f>HYPERLINK("./new_k5/query_cmdrels_weight_analyze/0.6_0.2_0.2/au_44534.xlsx","au_44534")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HYPERLINK("./new_k5/query_cmdrels_weight_analyze/0.6_0.2_0.2/au_451805.xlsx","au_451805")</f>
        <v>au_451805</v>
      </c>
      <c r="B133">
        <v>0.33333333333333331</v>
      </c>
      <c r="C133">
        <v>0</v>
      </c>
      <c r="D133">
        <v>0.33333333333333331</v>
      </c>
      <c r="E133">
        <v>0.1111111111111111</v>
      </c>
      <c r="F133">
        <v>0.33333333333333331</v>
      </c>
      <c r="G133">
        <v>0.1111111111111111</v>
      </c>
    </row>
    <row r="134" spans="1:7" x14ac:dyDescent="0.15">
      <c r="A134" t="str">
        <f>HYPERLINK("./new_k5/query_cmdrels_weight_analyze/0.6_0.2_0.2/au_464264.xlsx","au_464264")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0.1466666666666667</v>
      </c>
    </row>
    <row r="135" spans="1:7" x14ac:dyDescent="0.15">
      <c r="A135" t="str">
        <f>HYPERLINK("./new_k5/query_cmdrels_weight_analyze/0.6_0.2_0.2/au_468808.xlsx","au_468808")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HYPERLINK("./new_k5/query_cmdrels_weight_analyze/0.6_0.2_0.2/au_469143.xlsx","au_469143")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HYPERLINK("./new_k5/query_cmdrels_weight_analyze/0.6_0.2_0.2/au_470237.xlsx","au_470237")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HYPERLINK("./new_k5/query_cmdrels_weight_analyze/0.6_0.2_0.2/au_473037.xlsx","au_473037")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0.1</v>
      </c>
    </row>
    <row r="139" spans="1:7" x14ac:dyDescent="0.15">
      <c r="A139" t="str">
        <f>HYPERLINK("./new_k5/query_cmdrels_weight_analyze/0.6_0.2_0.2/au_48362.xlsx","au_48362")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HYPERLINK("./new_k5/query_cmdrels_weight_analyze/0.6_0.2_0.2/au_488435.xlsx","au_488435")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HYPERLINK("./new_k5/query_cmdrels_weight_analyze/0.6_0.2_0.2/au_493826.xlsx","au_493826")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HYPERLINK("./new_k5/query_cmdrels_weight_analyze/0.6_0.2_0.2/au_502110.xlsx","au_502110")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HYPERLINK("./new_k5/query_cmdrels_weight_analyze/0.6_0.2_0.2/au_50344.xlsx","au_50344")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HYPERLINK("./new_k5/query_cmdrels_weight_analyze/0.6_0.2_0.2/au_511467.xlsx","au_511467")</f>
        <v>au_511467</v>
      </c>
      <c r="B144">
        <v>0</v>
      </c>
      <c r="C144">
        <v>0.16666666666666671</v>
      </c>
      <c r="D144">
        <v>0.19444444444444439</v>
      </c>
      <c r="E144">
        <v>0.33333333333333331</v>
      </c>
      <c r="F144">
        <v>0.19444444444444439</v>
      </c>
      <c r="G144">
        <v>0.45833333333333331</v>
      </c>
    </row>
    <row r="145" spans="1:7" x14ac:dyDescent="0.15">
      <c r="A145" t="str">
        <f>HYPERLINK("./new_k5/query_cmdrels_weight_analyze/0.6_0.2_0.2/au_513046.xlsx","au_513046")</f>
        <v>au_513046</v>
      </c>
      <c r="B145">
        <v>0.25</v>
      </c>
      <c r="C145">
        <v>0</v>
      </c>
      <c r="D145">
        <v>0.5</v>
      </c>
      <c r="E145">
        <v>8.3333333333333329E-2</v>
      </c>
      <c r="F145">
        <v>0.5</v>
      </c>
      <c r="G145">
        <v>0.35833333333333328</v>
      </c>
    </row>
    <row r="146" spans="1:7" x14ac:dyDescent="0.15">
      <c r="A146" t="str">
        <f>HYPERLINK("./new_k5/query_cmdrels_weight_analyze/0.6_0.2_0.2/au_517354.xlsx","au_517354")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0.34523809523809518</v>
      </c>
    </row>
    <row r="147" spans="1:7" x14ac:dyDescent="0.15">
      <c r="A147" t="str">
        <f>HYPERLINK("./new_k5/query_cmdrels_weight_analyze/0.6_0.2_0.2/au_522431.xlsx","au_522431")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0.3833333333333333</v>
      </c>
    </row>
    <row r="148" spans="1:7" x14ac:dyDescent="0.15">
      <c r="A148" t="str">
        <f>HYPERLINK("./new_k5/query_cmdrels_weight_analyze/0.6_0.2_0.2/au_52773.xlsx","au_52773")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0.05</v>
      </c>
    </row>
    <row r="149" spans="1:7" x14ac:dyDescent="0.15">
      <c r="A149" t="str">
        <f>HYPERLINK("./new_k5/query_cmdrels_weight_analyze/0.6_0.2_0.2/au_528411.xlsx","au_528411")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HYPERLINK("./new_k5/query_cmdrels_weight_analyze/0.6_0.2_0.2/au_53263.xlsx","au_53263")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1</v>
      </c>
    </row>
    <row r="151" spans="1:7" x14ac:dyDescent="0.15">
      <c r="A151" t="str">
        <f>HYPERLINK("./new_k5/query_cmdrels_weight_analyze/0.6_0.2_0.2/au_53444.xlsx","au_53444")</f>
        <v>au_53444</v>
      </c>
      <c r="B151">
        <v>0.5</v>
      </c>
      <c r="C151">
        <v>0</v>
      </c>
      <c r="D151">
        <v>0.5</v>
      </c>
      <c r="E151">
        <v>0.16666666666666671</v>
      </c>
      <c r="F151">
        <v>0.5</v>
      </c>
      <c r="G151">
        <v>0.16666666666666671</v>
      </c>
    </row>
    <row r="152" spans="1:7" x14ac:dyDescent="0.15">
      <c r="A152" t="str">
        <f>HYPERLINK("./new_k5/query_cmdrels_weight_analyze/0.6_0.2_0.2/au_538208.xlsx","au_538208")</f>
        <v>au_538208</v>
      </c>
      <c r="B152">
        <v>0.125</v>
      </c>
      <c r="C152">
        <v>0.125</v>
      </c>
      <c r="D152">
        <v>0.375</v>
      </c>
      <c r="E152">
        <v>0.25</v>
      </c>
      <c r="F152">
        <v>0.5</v>
      </c>
      <c r="G152">
        <v>0.44374999999999998</v>
      </c>
    </row>
    <row r="153" spans="1:7" x14ac:dyDescent="0.15">
      <c r="A153" t="str">
        <f>HYPERLINK("./new_k5/query_cmdrels_weight_analyze/0.6_0.2_0.2/au_53822.xlsx","au_53822")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HYPERLINK("./new_k5/query_cmdrels_weight_analyze/0.6_0.2_0.2/au_539243.xlsx","au_539243")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0.33333333333333331</v>
      </c>
    </row>
    <row r="155" spans="1:7" x14ac:dyDescent="0.15">
      <c r="A155" t="str">
        <f>HYPERLINK("./new_k5/query_cmdrels_weight_analyze/0.6_0.2_0.2/au_558280.xlsx","au_558280")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HYPERLINK("./new_k5/query_cmdrels_weight_analyze/0.6_0.2_0.2/au_558669.xlsx","au_558669")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HYPERLINK("./new_k5/query_cmdrels_weight_analyze/0.6_0.2_0.2/au_55868.xlsx","au_55868")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HYPERLINK("./new_k5/query_cmdrels_weight_analyze/0.6_0.2_0.2/au_561.xlsx","au_561")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0.5</v>
      </c>
    </row>
    <row r="159" spans="1:7" x14ac:dyDescent="0.15">
      <c r="A159" t="str">
        <f>HYPERLINK("./new_k5/query_cmdrels_weight_analyze/0.6_0.2_0.2/au_564567.xlsx","au_564567")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HYPERLINK("./new_k5/query_cmdrels_weight_analyze/0.6_0.2_0.2/au_57994.xlsx","au_57994")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0.5714285714285714</v>
      </c>
    </row>
    <row r="161" spans="1:7" x14ac:dyDescent="0.15">
      <c r="A161" t="str">
        <f>HYPERLINK("./new_k5/query_cmdrels_weight_analyze/0.6_0.2_0.2/au_589210.xlsx","au_589210")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0.35</v>
      </c>
    </row>
    <row r="162" spans="1:7" x14ac:dyDescent="0.15">
      <c r="A162" t="str">
        <f>HYPERLINK("./new_k5/query_cmdrels_weight_analyze/0.6_0.2_0.2/au_5911.xlsx","au_5911")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HYPERLINK("./new_k5/query_cmdrels_weight_analyze/0.6_0.2_0.2/au_59356.xlsx","au_59356")</f>
        <v>au_59356</v>
      </c>
      <c r="B163">
        <v>0</v>
      </c>
      <c r="C163">
        <v>0</v>
      </c>
      <c r="D163">
        <v>0.16666666666666671</v>
      </c>
      <c r="E163">
        <v>0</v>
      </c>
      <c r="F163">
        <v>0.16666666666666671</v>
      </c>
      <c r="G163">
        <v>0</v>
      </c>
    </row>
    <row r="164" spans="1:7" x14ac:dyDescent="0.15">
      <c r="A164" t="str">
        <f>HYPERLINK("./new_k5/query_cmdrels_weight_analyze/0.6_0.2_0.2/au_609850.xlsx","au_609850")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HYPERLINK("./new_k5/query_cmdrels_weight_analyze/0.6_0.2_0.2/au_61408.xlsx","au_61408")</f>
        <v>au_61408</v>
      </c>
      <c r="B165">
        <v>0</v>
      </c>
      <c r="C165">
        <v>0.33333333333333331</v>
      </c>
      <c r="D165">
        <v>0.16666666666666671</v>
      </c>
      <c r="E165">
        <v>0.55555555555555547</v>
      </c>
      <c r="F165">
        <v>0.16666666666666671</v>
      </c>
      <c r="G165">
        <v>0.55555555555555547</v>
      </c>
    </row>
    <row r="166" spans="1:7" x14ac:dyDescent="0.15">
      <c r="A166" t="str">
        <f>HYPERLINK("./new_k5/query_cmdrels_weight_analyze/0.6_0.2_0.2/au_617850.xlsx","au_617850")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HYPERLINK("./new_k5/query_cmdrels_weight_analyze/0.6_0.2_0.2/au_62073.xlsx","au_62073")</f>
        <v>au_62073</v>
      </c>
      <c r="B167">
        <v>0</v>
      </c>
      <c r="C167">
        <v>0.2</v>
      </c>
      <c r="D167">
        <v>0.23333333333333331</v>
      </c>
      <c r="E167">
        <v>0.4</v>
      </c>
      <c r="F167">
        <v>0.23333333333333331</v>
      </c>
      <c r="G167">
        <v>0.71</v>
      </c>
    </row>
    <row r="168" spans="1:7" x14ac:dyDescent="0.15">
      <c r="A168" t="str">
        <f>HYPERLINK("./new_k5/query_cmdrels_weight_analyze/0.6_0.2_0.2/au_620930.xlsx","au_620930")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0.48333333333333328</v>
      </c>
    </row>
    <row r="169" spans="1:7" x14ac:dyDescent="0.15">
      <c r="A169" t="str">
        <f>HYPERLINK("./new_k5/query_cmdrels_weight_analyze/0.6_0.2_0.2/au_62492.xlsx","au_62492")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HYPERLINK("./new_k5/query_cmdrels_weight_analyze/0.6_0.2_0.2/au_626078.xlsx","au_626078")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HYPERLINK("./new_k5/query_cmdrels_weight_analyze/0.6_0.2_0.2/au_636944.xlsx","au_636944")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HYPERLINK("./new_k5/query_cmdrels_weight_analyze/0.6_0.2_0.2/au_648603.xlsx","au_648603")</f>
        <v>au_648603</v>
      </c>
      <c r="B172">
        <v>0.25</v>
      </c>
      <c r="C172">
        <v>0.25</v>
      </c>
      <c r="D172">
        <v>0.25</v>
      </c>
      <c r="E172">
        <v>0.41666666666666657</v>
      </c>
      <c r="F172">
        <v>0.25</v>
      </c>
      <c r="G172">
        <v>0.56666666666666665</v>
      </c>
    </row>
    <row r="173" spans="1:7" x14ac:dyDescent="0.15">
      <c r="A173" t="str">
        <f>HYPERLINK("./new_k5/query_cmdrels_weight_analyze/0.6_0.2_0.2/au_65331.xlsx","au_65331")</f>
        <v>au_65331</v>
      </c>
      <c r="B173">
        <v>0</v>
      </c>
      <c r="C173">
        <v>0.16666666666666671</v>
      </c>
      <c r="D173">
        <v>8.3333333333333329E-2</v>
      </c>
      <c r="E173">
        <v>0.27777777777777768</v>
      </c>
      <c r="F173">
        <v>0.16666666666666671</v>
      </c>
      <c r="G173">
        <v>0.37777777777777782</v>
      </c>
    </row>
    <row r="174" spans="1:7" x14ac:dyDescent="0.15">
      <c r="A174" t="str">
        <f>HYPERLINK("./new_k5/query_cmdrels_weight_analyze/0.6_0.2_0.2/au_66000.xlsx","au_66000")</f>
        <v>au_66000</v>
      </c>
      <c r="B174">
        <v>0</v>
      </c>
      <c r="C174">
        <v>0.2</v>
      </c>
      <c r="D174">
        <v>0</v>
      </c>
      <c r="E174">
        <v>0.33333333333333331</v>
      </c>
      <c r="F174">
        <v>0</v>
      </c>
      <c r="G174">
        <v>0.64333333333333331</v>
      </c>
    </row>
    <row r="175" spans="1:7" x14ac:dyDescent="0.15">
      <c r="A175" t="str">
        <f>HYPERLINK("./new_k5/query_cmdrels_weight_analyze/0.6_0.2_0.2/au_660846.xlsx","au_660846")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HYPERLINK("./new_k5/query_cmdrels_weight_analyze/0.6_0.2_0.2/au_662935.xlsx","au_662935")</f>
        <v>au_662935</v>
      </c>
      <c r="B176">
        <v>0.125</v>
      </c>
      <c r="C176">
        <v>0.125</v>
      </c>
      <c r="D176">
        <v>0.125</v>
      </c>
      <c r="E176">
        <v>0.375</v>
      </c>
      <c r="F176">
        <v>0.125</v>
      </c>
      <c r="G176">
        <v>0.375</v>
      </c>
    </row>
    <row r="177" spans="1:7" x14ac:dyDescent="0.15">
      <c r="A177" t="str">
        <f>HYPERLINK("./new_k5/query_cmdrels_weight_analyze/0.6_0.2_0.2/au_67663.xlsx","au_67663")</f>
        <v>au_67663</v>
      </c>
      <c r="B177">
        <v>0</v>
      </c>
      <c r="C177">
        <v>0.25</v>
      </c>
      <c r="D177">
        <v>0.29166666666666657</v>
      </c>
      <c r="E177">
        <v>0.75</v>
      </c>
      <c r="F177">
        <v>0.29166666666666657</v>
      </c>
      <c r="G177">
        <v>0.75</v>
      </c>
    </row>
    <row r="178" spans="1:7" x14ac:dyDescent="0.15">
      <c r="A178" t="str">
        <f>HYPERLINK("./new_k5/query_cmdrels_weight_analyze/0.6_0.2_0.2/au_68028.xlsx","au_68028")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0.23809523809523811</v>
      </c>
      <c r="F178">
        <v>0.37142857142857139</v>
      </c>
      <c r="G178">
        <v>0.32380952380952382</v>
      </c>
    </row>
    <row r="179" spans="1:7" x14ac:dyDescent="0.15">
      <c r="A179" t="str">
        <f>HYPERLINK("./new_k5/query_cmdrels_weight_analyze/0.6_0.2_0.2/au_681312.xlsx","au_681312")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0.2857142857142857</v>
      </c>
      <c r="F179">
        <v>0.42857142857142849</v>
      </c>
      <c r="G179">
        <v>0.50714285714285712</v>
      </c>
    </row>
    <row r="180" spans="1:7" x14ac:dyDescent="0.15">
      <c r="A180" t="str">
        <f>HYPERLINK("./new_k5/query_cmdrels_weight_analyze/0.6_0.2_0.2/au_686239.xlsx","au_686239")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HYPERLINK("./new_k5/query_cmdrels_weight_analyze/0.6_0.2_0.2/au_68809.xlsx","au_68809")</f>
        <v>au_68809</v>
      </c>
      <c r="B181">
        <v>0.125</v>
      </c>
      <c r="C181">
        <v>0.125</v>
      </c>
      <c r="D181">
        <v>0.20833333333333329</v>
      </c>
      <c r="E181">
        <v>0.125</v>
      </c>
      <c r="F181">
        <v>0.28333333333333333</v>
      </c>
      <c r="G181">
        <v>0.1875</v>
      </c>
    </row>
    <row r="182" spans="1:7" x14ac:dyDescent="0.15">
      <c r="A182" t="str">
        <f>HYPERLINK("./new_k5/query_cmdrels_weight_analyze/0.6_0.2_0.2/au_69556.xlsx","au_69556")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HYPERLINK("./new_k5/query_cmdrels_weight_analyze/0.6_0.2_0.2/au_698993.xlsx","au_698993")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HYPERLINK("./new_k5/query_cmdrels_weight_analyze/0.6_0.2_0.2/au_707881.xlsx","au_707881")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HYPERLINK("./new_k5/query_cmdrels_weight_analyze/0.6_0.2_0.2/au_709594.xlsx","au_709594")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HYPERLINK("./new_k5/query_cmdrels_weight_analyze/0.6_0.2_0.2/au_71309.xlsx","au_71309")</f>
        <v>au_71309</v>
      </c>
      <c r="B186">
        <v>0.125</v>
      </c>
      <c r="C186">
        <v>0</v>
      </c>
      <c r="D186">
        <v>0.20833333333333329</v>
      </c>
      <c r="E186">
        <v>0.14583333333333329</v>
      </c>
      <c r="F186">
        <v>0.20833333333333329</v>
      </c>
      <c r="G186">
        <v>0.23958333333333329</v>
      </c>
    </row>
    <row r="187" spans="1:7" x14ac:dyDescent="0.15">
      <c r="A187" t="str">
        <f>HYPERLINK("./new_k5/query_cmdrels_weight_analyze/0.6_0.2_0.2/au_7138.xlsx","au_7138")</f>
        <v>au_7138</v>
      </c>
      <c r="B187">
        <v>0.25</v>
      </c>
      <c r="C187">
        <v>0</v>
      </c>
      <c r="D187">
        <v>0.75</v>
      </c>
      <c r="E187">
        <v>8.3333333333333329E-2</v>
      </c>
      <c r="F187">
        <v>0.75</v>
      </c>
      <c r="G187">
        <v>8.3333333333333329E-2</v>
      </c>
    </row>
    <row r="188" spans="1:7" x14ac:dyDescent="0.15">
      <c r="A188" t="str">
        <f>HYPERLINK("./new_k5/query_cmdrels_weight_analyze/0.6_0.2_0.2/au_72549.xlsx","au_72549")</f>
        <v>au_72549</v>
      </c>
      <c r="B188">
        <v>0</v>
      </c>
      <c r="C188">
        <v>0</v>
      </c>
      <c r="D188">
        <v>0</v>
      </c>
      <c r="E188">
        <v>0.125</v>
      </c>
      <c r="F188">
        <v>0</v>
      </c>
      <c r="G188">
        <v>0.125</v>
      </c>
    </row>
    <row r="189" spans="1:7" x14ac:dyDescent="0.15">
      <c r="A189" t="str">
        <f>HYPERLINK("./new_k5/query_cmdrels_weight_analyze/0.6_0.2_0.2/au_740805.xlsx","au_740805")</f>
        <v>au_740805</v>
      </c>
      <c r="B189">
        <v>0.25</v>
      </c>
      <c r="C189">
        <v>0</v>
      </c>
      <c r="D189">
        <v>0.41666666666666657</v>
      </c>
      <c r="E189">
        <v>0.125</v>
      </c>
      <c r="F189">
        <v>0.41666666666666657</v>
      </c>
      <c r="G189">
        <v>0.22500000000000001</v>
      </c>
    </row>
    <row r="190" spans="1:7" x14ac:dyDescent="0.15">
      <c r="A190" t="str">
        <f>HYPERLINK("./new_k5/query_cmdrels_weight_analyze/0.6_0.2_0.2/au_760796.xlsx","au_760796")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HYPERLINK("./new_k5/query_cmdrels_weight_analyze/0.6_0.2_0.2/au_762846.xlsx","au_762846")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0.43333333333333329</v>
      </c>
    </row>
    <row r="192" spans="1:7" x14ac:dyDescent="0.15">
      <c r="A192" t="str">
        <f>HYPERLINK("./new_k5/query_cmdrels_weight_analyze/0.6_0.2_0.2/au_767786.xlsx","au_767786")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0.8</v>
      </c>
    </row>
    <row r="193" spans="1:7" x14ac:dyDescent="0.15">
      <c r="A193" t="str">
        <f>HYPERLINK("./new_k5/query_cmdrels_weight_analyze/0.6_0.2_0.2/au_778906.xlsx","au_778906")</f>
        <v>au_778906</v>
      </c>
      <c r="B193">
        <v>0.2</v>
      </c>
      <c r="C193">
        <v>0.2</v>
      </c>
      <c r="D193">
        <v>0.33333333333333331</v>
      </c>
      <c r="E193">
        <v>0.6</v>
      </c>
      <c r="F193">
        <v>0.33333333333333331</v>
      </c>
      <c r="G193">
        <v>0.6</v>
      </c>
    </row>
    <row r="194" spans="1:7" x14ac:dyDescent="0.15">
      <c r="A194" t="str">
        <f>HYPERLINK("./new_k5/query_cmdrels_weight_analyze/0.6_0.2_0.2/au_818929.xlsx","au_818929")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0.42</v>
      </c>
    </row>
    <row r="195" spans="1:7" x14ac:dyDescent="0.15">
      <c r="A195" t="str">
        <f>HYPERLINK("./new_k5/query_cmdrels_weight_analyze/0.6_0.2_0.2/au_844876.xlsx","au_844876")</f>
        <v>au_844876</v>
      </c>
      <c r="B195">
        <v>0.5</v>
      </c>
      <c r="C195">
        <v>0.5</v>
      </c>
      <c r="D195">
        <v>0.5</v>
      </c>
      <c r="E195">
        <v>1</v>
      </c>
      <c r="F195">
        <v>0.5</v>
      </c>
      <c r="G195">
        <v>1</v>
      </c>
    </row>
    <row r="196" spans="1:7" x14ac:dyDescent="0.15">
      <c r="A196" t="str">
        <f>HYPERLINK("./new_k5/query_cmdrels_weight_analyze/0.6_0.2_0.2/au_85318.xlsx","au_85318")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0.4</v>
      </c>
    </row>
    <row r="197" spans="1:7" x14ac:dyDescent="0.15">
      <c r="A197" t="str">
        <f>HYPERLINK("./new_k5/query_cmdrels_weight_analyze/0.6_0.2_0.2/au_854332.xlsx","au_854332")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HYPERLINK("./new_k5/query_cmdrels_weight_analyze/0.6_0.2_0.2/au_854373.xlsx","au_854373")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HYPERLINK("./new_k5/query_cmdrels_weight_analyze/0.6_0.2_0.2/au_86843.xlsx","au_86843")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HYPERLINK("./new_k5/query_cmdrels_weight_analyze/0.6_0.2_0.2/au_88108.xlsx","au_88108")</f>
        <v>au_88108</v>
      </c>
      <c r="B200">
        <v>0</v>
      </c>
      <c r="C200">
        <v>0</v>
      </c>
      <c r="D200">
        <v>0.1</v>
      </c>
      <c r="E200">
        <v>0</v>
      </c>
      <c r="F200">
        <v>0.1</v>
      </c>
      <c r="G200">
        <v>0.04</v>
      </c>
    </row>
    <row r="201" spans="1:7" x14ac:dyDescent="0.15">
      <c r="A201" t="str">
        <f>HYPERLINK("./new_k5/query_cmdrels_weight_analyze/0.6_0.2_0.2/au_90214.xlsx","au_90214")</f>
        <v>au_90214</v>
      </c>
      <c r="B201">
        <v>0</v>
      </c>
      <c r="C201">
        <v>0</v>
      </c>
      <c r="D201">
        <v>0.16666666666666671</v>
      </c>
      <c r="E201">
        <v>0</v>
      </c>
      <c r="F201">
        <v>0.16666666666666671</v>
      </c>
      <c r="G201">
        <v>0.2166666666666667</v>
      </c>
    </row>
    <row r="202" spans="1:7" x14ac:dyDescent="0.15">
      <c r="A202" t="str">
        <f>HYPERLINK("./new_k5/query_cmdrels_weight_analyze/0.6_0.2_0.2/au_90339.xlsx","au_90339")</f>
        <v>au_90339</v>
      </c>
      <c r="B202">
        <v>0</v>
      </c>
      <c r="C202">
        <v>0</v>
      </c>
      <c r="D202">
        <v>4.7619047619047623E-2</v>
      </c>
      <c r="E202">
        <v>7.1428571428571425E-2</v>
      </c>
      <c r="F202">
        <v>0.2047619047619047</v>
      </c>
      <c r="G202">
        <v>0.14285714285714279</v>
      </c>
    </row>
    <row r="203" spans="1:7" x14ac:dyDescent="0.15">
      <c r="A203" t="str">
        <f>HYPERLINK("./new_k5/query_cmdrels_weight_analyze/0.6_0.2_0.2/au_91286.xlsx","au_91286")</f>
        <v>au_91286</v>
      </c>
      <c r="B203">
        <v>0.5</v>
      </c>
      <c r="C203">
        <v>0</v>
      </c>
      <c r="D203">
        <v>0.5</v>
      </c>
      <c r="E203">
        <v>0.16666666666666671</v>
      </c>
      <c r="F203">
        <v>0.5</v>
      </c>
      <c r="G203">
        <v>0.16666666666666671</v>
      </c>
    </row>
    <row r="204" spans="1:7" x14ac:dyDescent="0.15">
      <c r="A204" t="str">
        <f>HYPERLINK("./new_k5/query_cmdrels_weight_analyze/0.6_0.2_0.2/au_9135.xlsx","au_9135")</f>
        <v>au_9135</v>
      </c>
      <c r="B204">
        <v>0.1</v>
      </c>
      <c r="C204">
        <v>0</v>
      </c>
      <c r="D204">
        <v>0.16666666666666671</v>
      </c>
      <c r="E204">
        <v>0.1166666666666667</v>
      </c>
      <c r="F204">
        <v>0.24166666666666661</v>
      </c>
      <c r="G204">
        <v>0.19166666666666671</v>
      </c>
    </row>
    <row r="205" spans="1:7" x14ac:dyDescent="0.15">
      <c r="A205" t="str">
        <f>HYPERLINK("./new_k5/query_cmdrels_weight_analyze/0.6_0.2_0.2/au_935569.xlsx","au_935569")</f>
        <v>au_935569</v>
      </c>
      <c r="B205">
        <v>0.14285714285714279</v>
      </c>
      <c r="C205">
        <v>0</v>
      </c>
      <c r="D205">
        <v>0.42857142857142849</v>
      </c>
      <c r="E205">
        <v>0.16666666666666671</v>
      </c>
      <c r="F205">
        <v>0.54285714285714282</v>
      </c>
      <c r="G205">
        <v>0.16666666666666671</v>
      </c>
    </row>
    <row r="206" spans="1:7" x14ac:dyDescent="0.15">
      <c r="A206" t="str">
        <f>HYPERLINK("./new_k5/query_cmdrels_weight_analyze/0.6_0.2_0.2/au_97936.xlsx","au_97936")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HYPERLINK("./new_k5/query_cmdrels_weight_analyze/0.6_0.2_0.2/so_10235778.xlsx","so_10235778")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HYPERLINK("./new_k5/query_cmdrels_weight_analyze/0.6_0.2_0.2/so_1045910.xlsx","so_1045910")</f>
        <v>so_1045910</v>
      </c>
      <c r="B208">
        <v>0.25</v>
      </c>
      <c r="C208">
        <v>0</v>
      </c>
      <c r="D208">
        <v>0.25</v>
      </c>
      <c r="E208">
        <v>0.29166666666666657</v>
      </c>
      <c r="F208">
        <v>0.25</v>
      </c>
      <c r="G208">
        <v>0.29166666666666657</v>
      </c>
    </row>
    <row r="209" spans="1:7" x14ac:dyDescent="0.15">
      <c r="A209" t="str">
        <f>HYPERLINK("./new_k5/query_cmdrels_weight_analyze/0.6_0.2_0.2/so_10557360.xlsx","so_10557360")</f>
        <v>so_10557360</v>
      </c>
      <c r="B209">
        <v>0</v>
      </c>
      <c r="C209">
        <v>0</v>
      </c>
      <c r="D209">
        <v>0</v>
      </c>
      <c r="E209">
        <v>6.6666666666666666E-2</v>
      </c>
      <c r="F209">
        <v>0</v>
      </c>
      <c r="G209">
        <v>6.6666666666666666E-2</v>
      </c>
    </row>
    <row r="210" spans="1:7" x14ac:dyDescent="0.15">
      <c r="A210" t="str">
        <f>HYPERLINK("./new_k5/query_cmdrels_weight_analyze/0.6_0.2_0.2/so_1058047.xlsx","so_1058047")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0.375</v>
      </c>
    </row>
    <row r="211" spans="1:7" x14ac:dyDescent="0.15">
      <c r="A211" t="str">
        <f>HYPERLINK("./new_k5/query_cmdrels_weight_analyze/0.6_0.2_0.2/so_10829402.xlsx","so_10829402")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HYPERLINK("./new_k5/query_cmdrels_weight_analyze/0.6_0.2_0.2/so_1088098.xlsx","so_1088098")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0.25</v>
      </c>
    </row>
    <row r="213" spans="1:7" x14ac:dyDescent="0.15">
      <c r="A213" t="str">
        <f>HYPERLINK("./new_k5/query_cmdrels_weight_analyze/0.6_0.2_0.2/so_10990949.xlsx","so_10990949")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0.5</v>
      </c>
    </row>
    <row r="214" spans="1:7" x14ac:dyDescent="0.15">
      <c r="A214" t="str">
        <f>HYPERLINK("./new_k5/query_cmdrels_weight_analyze/0.6_0.2_0.2/so_11211705.xlsx","so_11211705")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HYPERLINK("./new_k5/query_cmdrels_weight_analyze/0.6_0.2_0.2/so_112932.xlsx","so_112932")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HYPERLINK("./new_k5/query_cmdrels_weight_analyze/0.6_0.2_0.2/so_11392189.xlsx","so_11392189")</f>
        <v>so_11392189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6.25E-2</v>
      </c>
    </row>
    <row r="217" spans="1:7" x14ac:dyDescent="0.15">
      <c r="A217" t="str">
        <f>HYPERLINK("./new_k5/query_cmdrels_weight_analyze/0.6_0.2_0.2/so_1183183.xlsx","so_1183183")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0.25</v>
      </c>
    </row>
    <row r="218" spans="1:7" x14ac:dyDescent="0.15">
      <c r="A218" t="str">
        <f>HYPERLINK("./new_k5/query_cmdrels_weight_analyze/0.6_0.2_0.2/so_1194882.xlsx","so_1194882")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HYPERLINK("./new_k5/query_cmdrels_weight_analyze/0.6_0.2_0.2/so_12120935.xlsx","so_12120935")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HYPERLINK("./new_k5/query_cmdrels_weight_analyze/0.6_0.2_0.2/so_12313384.xlsx","so_12313384")</f>
        <v>so_12313384</v>
      </c>
      <c r="B220">
        <v>0</v>
      </c>
      <c r="C220">
        <v>0.33333333333333331</v>
      </c>
      <c r="D220">
        <v>0.16666666666666671</v>
      </c>
      <c r="E220">
        <v>0.55555555555555547</v>
      </c>
      <c r="F220">
        <v>0.16666666666666671</v>
      </c>
      <c r="G220">
        <v>0.55555555555555547</v>
      </c>
    </row>
    <row r="221" spans="1:7" x14ac:dyDescent="0.15">
      <c r="A221" t="str">
        <f>HYPERLINK("./new_k5/query_cmdrels_weight_analyze/0.6_0.2_0.2/so_12392598.xlsx","so_12392598")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HYPERLINK("./new_k5/query_cmdrels_weight_analyze/0.6_0.2_0.2/so_1241801.xlsx","so_1241801")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HYPERLINK("./new_k5/query_cmdrels_weight_analyze/0.6_0.2_0.2/so_12522269.xlsx","so_12522269")</f>
        <v>so_12522269</v>
      </c>
      <c r="B223">
        <v>0.2</v>
      </c>
      <c r="C223">
        <v>0</v>
      </c>
      <c r="D223">
        <v>0.2</v>
      </c>
      <c r="E223">
        <v>0.1</v>
      </c>
      <c r="F223">
        <v>0.28000000000000003</v>
      </c>
      <c r="G223">
        <v>0.1</v>
      </c>
    </row>
    <row r="224" spans="1:7" x14ac:dyDescent="0.15">
      <c r="A224" t="str">
        <f>HYPERLINK("./new_k5/query_cmdrels_weight_analyze/0.6_0.2_0.2/so_1293907.xlsx","so_1293907")</f>
        <v>so_1293907</v>
      </c>
      <c r="B224">
        <v>0</v>
      </c>
      <c r="C224">
        <v>0.33333333333333331</v>
      </c>
      <c r="D224">
        <v>0</v>
      </c>
      <c r="E224">
        <v>0.66666666666666663</v>
      </c>
      <c r="F224">
        <v>8.3333333333333329E-2</v>
      </c>
      <c r="G224">
        <v>0.8666666666666667</v>
      </c>
    </row>
    <row r="225" spans="1:7" x14ac:dyDescent="0.15">
      <c r="A225" t="str">
        <f>HYPERLINK("./new_k5/query_cmdrels_weight_analyze/0.6_0.2_0.2/so_13428910.xlsx","so_13428910")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HYPERLINK("./new_k5/query_cmdrels_weight_analyze/0.6_0.2_0.2/so_135688.xlsx","so_135688")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HYPERLINK("./new_k5/query_cmdrels_weight_analyze/0.6_0.2_0.2/so_13778273.xlsx","so_13778273")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HYPERLINK("./new_k5/query_cmdrels_weight_analyze/0.6_0.2_0.2/so_1405611.xlsx","so_1405611")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0.1111111111111111</v>
      </c>
      <c r="F228">
        <v>0.33333333333333331</v>
      </c>
      <c r="G228">
        <v>0.1111111111111111</v>
      </c>
    </row>
    <row r="229" spans="1:7" x14ac:dyDescent="0.15">
      <c r="A229" t="str">
        <f>HYPERLINK("./new_k5/query_cmdrels_weight_analyze/0.6_0.2_0.2/so_14300794.xlsx","so_14300794")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HYPERLINK("./new_k5/query_cmdrels_weight_analyze/0.6_0.2_0.2/so_143791.xlsx","so_143791")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HYPERLINK("./new_k5/query_cmdrels_weight_analyze/0.6_0.2_0.2/so_14750650.xlsx","so_14750650")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0.05</v>
      </c>
    </row>
    <row r="232" spans="1:7" x14ac:dyDescent="0.15">
      <c r="A232" t="str">
        <f>HYPERLINK("./new_k5/query_cmdrels_weight_analyze/0.6_0.2_0.2/so_14978411.xlsx","so_14978411")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HYPERLINK("./new_k5/query_cmdrels_weight_analyze/0.6_0.2_0.2/so_15236308.xlsx","so_15236308")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HYPERLINK("./new_k5/query_cmdrels_weight_analyze/0.6_0.2_0.2/so_15286947.xlsx","so_15286947")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HYPERLINK("./new_k5/query_cmdrels_weight_analyze/0.6_0.2_0.2/so_15402770.xlsx","so_15402770")</f>
        <v>so_15402770</v>
      </c>
      <c r="B235">
        <v>0</v>
      </c>
      <c r="C235">
        <v>0.16666666666666671</v>
      </c>
      <c r="D235">
        <v>0.19444444444444439</v>
      </c>
      <c r="E235">
        <v>0.27777777777777768</v>
      </c>
      <c r="F235">
        <v>0.19444444444444439</v>
      </c>
      <c r="G235">
        <v>0.40277777777777768</v>
      </c>
    </row>
    <row r="236" spans="1:7" x14ac:dyDescent="0.15">
      <c r="A236" t="str">
        <f>HYPERLINK("./new_k5/query_cmdrels_weight_analyze/0.6_0.2_0.2/so_1570262.xlsx","so_1570262")</f>
        <v>so_1570262</v>
      </c>
      <c r="B236">
        <v>0</v>
      </c>
      <c r="C236">
        <v>0</v>
      </c>
      <c r="D236">
        <v>0</v>
      </c>
      <c r="E236">
        <v>6.6666666666666666E-2</v>
      </c>
      <c r="F236">
        <v>0</v>
      </c>
      <c r="G236">
        <v>0.1466666666666667</v>
      </c>
    </row>
    <row r="237" spans="1:7" x14ac:dyDescent="0.15">
      <c r="A237" t="str">
        <f>HYPERLINK("./new_k5/query_cmdrels_weight_analyze/0.6_0.2_0.2/so_1583219.xlsx","so_1583219")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HYPERLINK("./new_k5/query_cmdrels_weight_analyze/0.6_0.2_0.2/so_15872543.xlsx","so_15872543")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HYPERLINK("./new_k5/query_cmdrels_weight_analyze/0.6_0.2_0.2/so_16038087.xlsx","so_16038087")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0.5714285714285714</v>
      </c>
    </row>
    <row r="240" spans="1:7" x14ac:dyDescent="0.15">
      <c r="A240" t="str">
        <f>HYPERLINK("./new_k5/query_cmdrels_weight_analyze/0.6_0.2_0.2/so_16212656.xlsx","so_16212656")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HYPERLINK("./new_k5/query_cmdrels_weight_analyze/0.6_0.2_0.2/so_16575419.xlsx","so_16575419")</f>
        <v>so_16575419</v>
      </c>
      <c r="B241">
        <v>0.25</v>
      </c>
      <c r="C241">
        <v>0.25</v>
      </c>
      <c r="D241">
        <v>0.25</v>
      </c>
      <c r="E241">
        <v>0.75</v>
      </c>
      <c r="F241">
        <v>0.25</v>
      </c>
      <c r="G241">
        <v>0.75</v>
      </c>
    </row>
    <row r="242" spans="1:7" x14ac:dyDescent="0.15">
      <c r="A242" t="str">
        <f>HYPERLINK("./new_k5/query_cmdrels_weight_analyze/0.6_0.2_0.2/so_17582768.xlsx","so_17582768")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8.3333333333333329E-2</v>
      </c>
    </row>
    <row r="243" spans="1:7" x14ac:dyDescent="0.15">
      <c r="A243" t="str">
        <f>HYPERLINK("./new_k5/query_cmdrels_weight_analyze/0.6_0.2_0.2/so_17607612.xlsx","so_17607612")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HYPERLINK("./new_k5/query_cmdrels_weight_analyze/0.6_0.2_0.2/so_17829785.xlsx","so_17829785")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HYPERLINK("./new_k5/query_cmdrels_weight_analyze/0.6_0.2_0.2/so_1839841.xlsx","so_1839841")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HYPERLINK("./new_k5/query_cmdrels_weight_analyze/0.6_0.2_0.2/so_18468716.xlsx","so_18468716")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0.46666666666666662</v>
      </c>
    </row>
    <row r="247" spans="1:7" x14ac:dyDescent="0.15">
      <c r="A247" t="str">
        <f>HYPERLINK("./new_k5/query_cmdrels_weight_analyze/0.6_0.2_0.2/so_19196105.xlsx","so_19196105")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0.19166666666666671</v>
      </c>
    </row>
    <row r="248" spans="1:7" x14ac:dyDescent="0.15">
      <c r="A248" t="str">
        <f>HYPERLINK("./new_k5/query_cmdrels_weight_analyze/0.6_0.2_0.2/so_19482123.xlsx","so_19482123")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HYPERLINK("./new_k5/query_cmdrels_weight_analyze/0.6_0.2_0.2/so_1975849.xlsx","so_1975849")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HYPERLINK("./new_k5/query_cmdrels_weight_analyze/0.6_0.2_0.2/so_212528.xlsx","so_212528")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0.45833333333333331</v>
      </c>
    </row>
    <row r="251" spans="1:7" x14ac:dyDescent="0.15">
      <c r="A251" t="str">
        <f>HYPERLINK("./new_k5/query_cmdrels_weight_analyze/0.6_0.2_0.2/so_21620406.xlsx","so_21620406")</f>
        <v>so_21620406</v>
      </c>
      <c r="B251">
        <v>0</v>
      </c>
      <c r="C251">
        <v>0</v>
      </c>
      <c r="D251">
        <v>0.1111111111111111</v>
      </c>
      <c r="E251">
        <v>0</v>
      </c>
      <c r="F251">
        <v>0.1111111111111111</v>
      </c>
      <c r="G251">
        <v>8.3333333333333329E-2</v>
      </c>
    </row>
    <row r="252" spans="1:7" x14ac:dyDescent="0.15">
      <c r="A252" t="str">
        <f>HYPERLINK("./new_k5/query_cmdrels_weight_analyze/0.6_0.2_0.2/so_23509348.xlsx","so_23509348")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HYPERLINK("./new_k5/query_cmdrels_weight_analyze/0.6_0.2_0.2/so_24058544.xlsx","so_24058544")</f>
        <v>so_24058544</v>
      </c>
      <c r="B253">
        <v>0.2</v>
      </c>
      <c r="C253">
        <v>0.2</v>
      </c>
      <c r="D253">
        <v>0.2</v>
      </c>
      <c r="E253">
        <v>0.33333333333333331</v>
      </c>
      <c r="F253">
        <v>0.2</v>
      </c>
      <c r="G253">
        <v>0.33333333333333331</v>
      </c>
    </row>
    <row r="254" spans="1:7" x14ac:dyDescent="0.15">
      <c r="A254" t="str">
        <f>HYPERLINK("./new_k5/query_cmdrels_weight_analyze/0.6_0.2_0.2/so_24283097.xlsx","so_24283097")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HYPERLINK("./new_k5/query_cmdrels_weight_analyze/0.6_0.2_0.2/so_26256279.xlsx","so_26256279")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HYPERLINK("./new_k5/query_cmdrels_weight_analyze/0.6_0.2_0.2/so_26331651.xlsx","so_26331651")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HYPERLINK("./new_k5/query_cmdrels_weight_analyze/0.6_0.2_0.2/so_26988262.xlsx","so_26988262")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HYPERLINK("./new_k5/query_cmdrels_weight_analyze/0.6_0.2_0.2/so_27238411.xlsx","so_27238411")</f>
        <v>so_27238411</v>
      </c>
      <c r="B258">
        <v>0.2</v>
      </c>
      <c r="C258">
        <v>0.2</v>
      </c>
      <c r="D258">
        <v>0.6</v>
      </c>
      <c r="E258">
        <v>0.6</v>
      </c>
      <c r="F258">
        <v>0.6</v>
      </c>
      <c r="G258">
        <v>0.6</v>
      </c>
    </row>
    <row r="259" spans="1:7" x14ac:dyDescent="0.15">
      <c r="A259" t="str">
        <f>HYPERLINK("./new_k5/query_cmdrels_weight_analyze/0.6_0.2_0.2/so_27943059.xlsx","so_27943059")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0.33333333333333331</v>
      </c>
      <c r="F259">
        <v>0.16666666666666671</v>
      </c>
      <c r="G259">
        <v>0.46666666666666662</v>
      </c>
    </row>
    <row r="260" spans="1:7" x14ac:dyDescent="0.15">
      <c r="A260" t="str">
        <f>HYPERLINK("./new_k5/query_cmdrels_weight_analyze/0.6_0.2_0.2/so_28869004.xlsx","so_28869004")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0.5</v>
      </c>
    </row>
    <row r="261" spans="1:7" x14ac:dyDescent="0.15">
      <c r="A261" t="str">
        <f>HYPERLINK("./new_k5/query_cmdrels_weight_analyze/0.6_0.2_0.2/so_2973624.xlsx","so_2973624")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1</v>
      </c>
      <c r="F261">
        <v>0.66666666666666663</v>
      </c>
      <c r="G261">
        <v>1</v>
      </c>
    </row>
    <row r="262" spans="1:7" x14ac:dyDescent="0.15">
      <c r="A262" t="str">
        <f>HYPERLINK("./new_k5/query_cmdrels_weight_analyze/0.6_0.2_0.2/so_30177455.xlsx","so_30177455")</f>
        <v>so_30177455</v>
      </c>
      <c r="B262">
        <v>0</v>
      </c>
      <c r="C262">
        <v>0</v>
      </c>
      <c r="D262">
        <v>0.16666666666666671</v>
      </c>
      <c r="E262">
        <v>0</v>
      </c>
      <c r="F262">
        <v>0.16666666666666671</v>
      </c>
      <c r="G262">
        <v>8.3333333333333329E-2</v>
      </c>
    </row>
    <row r="263" spans="1:7" x14ac:dyDescent="0.15">
      <c r="A263" t="str">
        <f>HYPERLINK("./new_k5/query_cmdrels_weight_analyze/0.6_0.2_0.2/so_30251889.xlsx","so_30251889")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0.6791666666666667</v>
      </c>
    </row>
    <row r="264" spans="1:7" x14ac:dyDescent="0.15">
      <c r="A264" t="str">
        <f>HYPERLINK("./new_k5/query_cmdrels_weight_analyze/0.6_0.2_0.2/so_305035.xlsx","so_305035")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HYPERLINK("./new_k5/query_cmdrels_weight_analyze/0.6_0.2_0.2/so_36249744.xlsx","so_36249744")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HYPERLINK("./new_k5/query_cmdrels_weight_analyze/0.6_0.2_0.2/so_3643848.xlsx","so_3643848")</f>
        <v>so_3643848</v>
      </c>
      <c r="B266">
        <v>0.5</v>
      </c>
      <c r="C266">
        <v>0.5</v>
      </c>
      <c r="D266">
        <v>1</v>
      </c>
      <c r="E266">
        <v>0.5</v>
      </c>
      <c r="F266">
        <v>1</v>
      </c>
      <c r="G266">
        <v>0.75</v>
      </c>
    </row>
    <row r="267" spans="1:7" x14ac:dyDescent="0.15">
      <c r="A267" t="str">
        <f>HYPERLINK("./new_k5/query_cmdrels_weight_analyze/0.6_0.2_0.2/so_3667329.xlsx","so_3667329")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HYPERLINK("./new_k5/query_cmdrels_weight_analyze/0.6_0.2_0.2/so_369758.xlsx","so_369758")</f>
        <v>so_369758</v>
      </c>
      <c r="B268">
        <v>0.2</v>
      </c>
      <c r="C268">
        <v>0.2</v>
      </c>
      <c r="D268">
        <v>0.4</v>
      </c>
      <c r="E268">
        <v>0.33333333333333331</v>
      </c>
      <c r="F268">
        <v>0.4</v>
      </c>
      <c r="G268">
        <v>0.48333333333333328</v>
      </c>
    </row>
    <row r="269" spans="1:7" x14ac:dyDescent="0.15">
      <c r="A269" t="str">
        <f>HYPERLINK("./new_k5/query_cmdrels_weight_analyze/0.6_0.2_0.2/so_3756323.xlsx","so_3756323")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</v>
      </c>
    </row>
    <row r="270" spans="1:7" x14ac:dyDescent="0.15">
      <c r="A270" t="str">
        <f>HYPERLINK("./new_k5/query_cmdrels_weight_analyze/0.6_0.2_0.2/so_3767267.xlsx","so_3767267")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HYPERLINK("./new_k5/query_cmdrels_weight_analyze/0.6_0.2_0.2/so_3833578.xlsx","so_3833578")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HYPERLINK("./new_k5/query_cmdrels_weight_analyze/0.6_0.2_0.2/so_3891076.xlsx","so_3891076")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0.52500000000000002</v>
      </c>
    </row>
    <row r="273" spans="1:7" x14ac:dyDescent="0.15">
      <c r="A273" t="str">
        <f>HYPERLINK("./new_k5/query_cmdrels_weight_analyze/0.6_0.2_0.2/so_3963085.xlsx","so_3963085")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HYPERLINK("./new_k5/query_cmdrels_weight_analyze/0.6_0.2_0.2/so_4325216.xlsx","so_4325216")</f>
        <v>so_4325216</v>
      </c>
      <c r="B274">
        <v>0.5</v>
      </c>
      <c r="C274">
        <v>0.5</v>
      </c>
      <c r="D274">
        <v>0.5</v>
      </c>
      <c r="E274">
        <v>0.83333333333333326</v>
      </c>
      <c r="F274">
        <v>0.5</v>
      </c>
      <c r="G274">
        <v>0.83333333333333326</v>
      </c>
    </row>
    <row r="275" spans="1:7" x14ac:dyDescent="0.15">
      <c r="A275" t="str">
        <f>HYPERLINK("./new_k5/query_cmdrels_weight_analyze/0.6_0.2_0.2/so_448005.xlsx","so_448005")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HYPERLINK("./new_k5/query_cmdrels_weight_analyze/0.6_0.2_0.2/so_4921879.xlsx","so_4921879")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HYPERLINK("./new_k5/query_cmdrels_weight_analyze/0.6_0.2_0.2/so_4922943.xlsx","so_4922943")</f>
        <v>so_4922943</v>
      </c>
      <c r="B277">
        <v>0.2</v>
      </c>
      <c r="C277">
        <v>0.2</v>
      </c>
      <c r="D277">
        <v>0.33333333333333331</v>
      </c>
      <c r="E277">
        <v>0.2</v>
      </c>
      <c r="F277">
        <v>0.33333333333333331</v>
      </c>
      <c r="G277">
        <v>0.3</v>
      </c>
    </row>
    <row r="278" spans="1:7" x14ac:dyDescent="0.15">
      <c r="A278" t="str">
        <f>HYPERLINK("./new_k5/query_cmdrels_weight_analyze/0.6_0.2_0.2/so_5119946.xlsx","so_5119946")</f>
        <v>so_5119946</v>
      </c>
      <c r="B278">
        <v>0.5</v>
      </c>
      <c r="C278">
        <v>0</v>
      </c>
      <c r="D278">
        <v>0.5</v>
      </c>
      <c r="E278">
        <v>0.58333333333333326</v>
      </c>
      <c r="F278">
        <v>0.5</v>
      </c>
      <c r="G278">
        <v>0.58333333333333326</v>
      </c>
    </row>
    <row r="279" spans="1:7" x14ac:dyDescent="0.15">
      <c r="A279" t="str">
        <f>HYPERLINK("./new_k5/query_cmdrels_weight_analyze/0.6_0.2_0.2/so_5164985.xlsx","so_5164985")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HYPERLINK("./new_k5/query_cmdrels_weight_analyze/0.6_0.2_0.2/so_5306153.xlsx","so_5306153")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HYPERLINK("./new_k5/query_cmdrels_weight_analyze/0.6_0.2_0.2/so_5566310.xlsx","so_5566310")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HYPERLINK("./new_k5/query_cmdrels_weight_analyze/0.6_0.2_0.2/so_5927369.xlsx","so_5927369")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HYPERLINK("./new_k5/query_cmdrels_weight_analyze/0.6_0.2_0.2/so_5947742.xlsx","so_5947742")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HYPERLINK("./new_k5/query_cmdrels_weight_analyze/0.6_0.2_0.2/so_614795.xlsx","so_614795")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HYPERLINK("./new_k5/query_cmdrels_weight_analyze/0.6_0.2_0.2/so_6207573.xlsx","so_6207573")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0.42857142857142849</v>
      </c>
      <c r="F285">
        <v>0.37142857142857139</v>
      </c>
      <c r="G285">
        <v>0.42857142857142849</v>
      </c>
    </row>
    <row r="286" spans="1:7" x14ac:dyDescent="0.15">
      <c r="A286" t="str">
        <f>HYPERLINK("./new_k5/query_cmdrels_weight_analyze/0.6_0.2_0.2/so_6283167.xlsx","so_6283167")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HYPERLINK("./new_k5/query_cmdrels_weight_analyze/0.6_0.2_0.2/so_6329505.xlsx","so_6329505")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HYPERLINK("./new_k5/query_cmdrels_weight_analyze/0.6_0.2_0.2/so_6423532.xlsx","so_6423532")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HYPERLINK("./new_k5/query_cmdrels_weight_analyze/0.6_0.2_0.2/so_669438.xlsx","so_669438")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0.33333333333333331</v>
      </c>
    </row>
    <row r="290" spans="1:7" x14ac:dyDescent="0.15">
      <c r="A290" t="str">
        <f>HYPERLINK("./new_k5/query_cmdrels_weight_analyze/0.6_0.2_0.2/so_7052875.xlsx","so_7052875")</f>
        <v>so_7052875</v>
      </c>
      <c r="B290">
        <v>0.2</v>
      </c>
      <c r="C290">
        <v>0</v>
      </c>
      <c r="D290">
        <v>0.2</v>
      </c>
      <c r="E290">
        <v>0.1</v>
      </c>
      <c r="F290">
        <v>0.2</v>
      </c>
      <c r="G290">
        <v>0.18</v>
      </c>
    </row>
    <row r="291" spans="1:7" x14ac:dyDescent="0.15">
      <c r="A291" t="str">
        <f>HYPERLINK("./new_k5/query_cmdrels_weight_analyze/0.6_0.2_0.2/so_7221757.xlsx","so_7221757")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HYPERLINK("./new_k5/query_cmdrels_weight_analyze/0.6_0.2_0.2/so_750604.xlsx","so_750604")</f>
        <v>so_750604</v>
      </c>
      <c r="B292">
        <v>0</v>
      </c>
      <c r="C292">
        <v>0</v>
      </c>
      <c r="D292">
        <v>0.1111111111111111</v>
      </c>
      <c r="E292">
        <v>0.1111111111111111</v>
      </c>
      <c r="F292">
        <v>0.1111111111111111</v>
      </c>
      <c r="G292">
        <v>0.27777777777777768</v>
      </c>
    </row>
    <row r="293" spans="1:7" x14ac:dyDescent="0.15">
      <c r="A293" t="str">
        <f>HYPERLINK("./new_k5/query_cmdrels_weight_analyze/0.6_0.2_0.2/so_7575267.xlsx","so_7575267")</f>
        <v>so_7575267</v>
      </c>
      <c r="B293">
        <v>0</v>
      </c>
      <c r="C293">
        <v>0.25</v>
      </c>
      <c r="D293">
        <v>0</v>
      </c>
      <c r="E293">
        <v>0.75</v>
      </c>
      <c r="F293">
        <v>0</v>
      </c>
      <c r="G293">
        <v>0.75</v>
      </c>
    </row>
    <row r="294" spans="1:7" x14ac:dyDescent="0.15">
      <c r="A294" t="str">
        <f>HYPERLINK("./new_k5/query_cmdrels_weight_analyze/0.6_0.2_0.2/so_7698488.xlsx","so_7698488")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0.16250000000000001</v>
      </c>
    </row>
    <row r="295" spans="1:7" x14ac:dyDescent="0.15">
      <c r="A295" t="str">
        <f>HYPERLINK("./new_k5/query_cmdrels_weight_analyze/0.6_0.2_0.2/so_801095.xlsx","so_801095")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0.33333333333333331</v>
      </c>
      <c r="F295">
        <v>0.33333333333333331</v>
      </c>
      <c r="G295">
        <v>0.5</v>
      </c>
    </row>
    <row r="296" spans="1:7" x14ac:dyDescent="0.15">
      <c r="A296" t="str">
        <f>HYPERLINK("./new_k5/query_cmdrels_weight_analyze/0.6_0.2_0.2/so_8249705.xlsx","so_8249705")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HYPERLINK("./new_k5/query_cmdrels_weight_analyze/0.6_0.2_0.2/so_8423541.xlsx","so_8423541")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HYPERLINK("./new_k5/query_cmdrels_weight_analyze/0.6_0.2_0.2/so_8654051.xlsx","so_8654051")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HYPERLINK("./new_k5/query_cmdrels_weight_analyze/0.6_0.2_0.2/so_890262.xlsx","so_890262")</f>
        <v>so_890262</v>
      </c>
      <c r="B299">
        <v>0</v>
      </c>
      <c r="C299">
        <v>0</v>
      </c>
      <c r="D299">
        <v>0</v>
      </c>
      <c r="E299">
        <v>0.38888888888888878</v>
      </c>
      <c r="F299">
        <v>0</v>
      </c>
      <c r="G299">
        <v>0.38888888888888878</v>
      </c>
    </row>
    <row r="300" spans="1:7" x14ac:dyDescent="0.15">
      <c r="A300" t="str">
        <f>HYPERLINK("./new_k5/query_cmdrels_weight_analyze/0.6_0.2_0.2/so_893585.xlsx","so_893585")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HYPERLINK("./new_k5/query_cmdrels_weight_analyze/0.6_0.2_0.2/so_9223460.xlsx","so_9223460")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HYPERLINK("./new_k5/query_cmdrels_weight_analyze/0.6_0.2_0.2/so_9245638.xlsx","so_9245638")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HYPERLINK("./new_k5/query_cmdrels_weight_analyze/0.6_0.2_0.2/so_9304953.xlsx","so_9304953")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HYPERLINK("./new_k5/query_cmdrels_weight_analyze/0.6_0.2_0.2/so_9361816.xlsx","so_9361816")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HYPERLINK("./new_k5/query_cmdrels_weight_analyze/0.6_0.2_0.2/su_116617.xlsx","su_116617")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HYPERLINK("./new_k5/query_cmdrels_weight_analyze/0.6_0.2_0.2/su_120045.xlsx","su_120045")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HYPERLINK("./new_k5/query_cmdrels_weight_analyze/0.6_0.2_0.2/su_127863.xlsx","su_127863")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HYPERLINK("./new_k5/query_cmdrels_weight_analyze/0.6_0.2_0.2/su_135498.xlsx","su_135498")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HYPERLINK("./new_k5/query_cmdrels_weight_analyze/0.6_0.2_0.2/su_147027.xlsx","su_147027")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HYPERLINK("./new_k5/query_cmdrels_weight_analyze/0.6_0.2_0.2/su_151911.xlsx","su_151911")</f>
        <v>su_151911</v>
      </c>
      <c r="B310">
        <v>0</v>
      </c>
      <c r="C310">
        <v>0</v>
      </c>
      <c r="D310">
        <v>0</v>
      </c>
      <c r="E310">
        <v>8.3333333333333329E-2</v>
      </c>
      <c r="F310">
        <v>0</v>
      </c>
      <c r="G310">
        <v>8.3333333333333329E-2</v>
      </c>
    </row>
    <row r="311" spans="1:7" x14ac:dyDescent="0.15">
      <c r="A311" t="str">
        <f>HYPERLINK("./new_k5/query_cmdrels_weight_analyze/0.6_0.2_0.2/su_153415.xlsx","su_153415")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HYPERLINK("./new_k5/query_cmdrels_weight_analyze/0.6_0.2_0.2/su_156189.xlsx","su_156189")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0.27777777777777768</v>
      </c>
    </row>
    <row r="313" spans="1:7" x14ac:dyDescent="0.15">
      <c r="A313" t="str">
        <f>HYPERLINK("./new_k5/query_cmdrels_weight_analyze/0.6_0.2_0.2/su_161531.xlsx","su_161531")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HYPERLINK("./new_k5/query_cmdrels_weight_analyze/0.6_0.2_0.2/su_204209.xlsx","su_204209")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HYPERLINK("./new_k5/query_cmdrels_weight_analyze/0.6_0.2_0.2/su_214390.xlsx","su_214390")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HYPERLINK("./new_k5/query_cmdrels_weight_analyze/0.6_0.2_0.2/su_215483.xlsx","su_215483")</f>
        <v>su_215483</v>
      </c>
      <c r="B316">
        <v>0.5</v>
      </c>
      <c r="C316">
        <v>0.5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HYPERLINK("./new_k5/query_cmdrels_weight_analyze/0.6_0.2_0.2/su_215504.xlsx","su_215504")</f>
        <v>su_215504</v>
      </c>
      <c r="B317">
        <v>0</v>
      </c>
      <c r="C317">
        <v>0.25</v>
      </c>
      <c r="D317">
        <v>0.29166666666666657</v>
      </c>
      <c r="E317">
        <v>0.41666666666666657</v>
      </c>
      <c r="F317">
        <v>0.44166666666666671</v>
      </c>
      <c r="G317">
        <v>0.60416666666666663</v>
      </c>
    </row>
    <row r="318" spans="1:7" x14ac:dyDescent="0.15">
      <c r="A318" t="str">
        <f>HYPERLINK("./new_k5/query_cmdrels_weight_analyze/0.6_0.2_0.2/su_227385.xlsx","su_227385")</f>
        <v>su_227385</v>
      </c>
      <c r="B318">
        <v>0</v>
      </c>
      <c r="C318">
        <v>0</v>
      </c>
      <c r="D318">
        <v>0</v>
      </c>
      <c r="E318">
        <v>0.29166666666666657</v>
      </c>
      <c r="F318">
        <v>0</v>
      </c>
      <c r="G318">
        <v>0.6791666666666667</v>
      </c>
    </row>
    <row r="319" spans="1:7" x14ac:dyDescent="0.15">
      <c r="A319" t="str">
        <f>HYPERLINK("./new_k5/query_cmdrels_weight_analyze/0.6_0.2_0.2/su_273254.xlsx","su_273254")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HYPERLINK("./new_k5/query_cmdrels_weight_analyze/0.6_0.2_0.2/su_294161.xlsx","su_294161")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HYPERLINK("./new_k5/query_cmdrels_weight_analyze/0.6_0.2_0.2/su_302396.xlsx","su_302396")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HYPERLINK("./new_k5/query_cmdrels_weight_analyze/0.6_0.2_0.2/su_303981.xlsx","su_303981")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HYPERLINK("./new_k5/query_cmdrels_weight_analyze/0.6_0.2_0.2/su_305128.xlsx","su_305128")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HYPERLINK("./new_k5/query_cmdrels_weight_analyze/0.6_0.2_0.2/su_31512.xlsx","su_31512")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HYPERLINK("./new_k5/query_cmdrels_weight_analyze/0.6_0.2_0.2/su_380520.xlsx","su_380520")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0.1111111111111111</v>
      </c>
      <c r="F325">
        <v>0.33333333333333331</v>
      </c>
      <c r="G325">
        <v>0.27777777777777768</v>
      </c>
    </row>
    <row r="326" spans="1:7" x14ac:dyDescent="0.15">
      <c r="A326" t="str">
        <f>HYPERLINK("./new_k5/query_cmdrels_weight_analyze/0.6_0.2_0.2/su_38981.xlsx","su_38981")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HYPERLINK("./new_k5/query_cmdrels_weight_analyze/0.6_0.2_0.2/su_437330.xlsx","su_437330")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HYPERLINK("./new_k5/query_cmdrels_weight_analyze/0.6_0.2_0.2/su_441379.xlsx","su_441379")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HYPERLINK("./new_k5/query_cmdrels_weight_analyze/0.6_0.2_0.2/su_462788.xlsx","su_462788")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0.22222222222222221</v>
      </c>
      <c r="F329">
        <v>0.30555555555555558</v>
      </c>
      <c r="G329">
        <v>0.39444444444444438</v>
      </c>
    </row>
    <row r="330" spans="1:7" x14ac:dyDescent="0.15">
      <c r="A330" t="str">
        <f>HYPERLINK("./new_k5/query_cmdrels_weight_analyze/0.6_0.2_0.2/su_626606.xlsx","su_626606")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0.83333333333333337</v>
      </c>
    </row>
    <row r="331" spans="1:7" x14ac:dyDescent="0.15">
      <c r="A331" t="str">
        <f>HYPERLINK("./new_k5/query_cmdrels_weight_analyze/0.6_0.2_0.2/su_634469.xlsx","su_634469")</f>
        <v>su_634469</v>
      </c>
      <c r="B331">
        <v>0</v>
      </c>
      <c r="C331">
        <v>0.16666666666666671</v>
      </c>
      <c r="D331">
        <v>0</v>
      </c>
      <c r="E331">
        <v>0.33333333333333331</v>
      </c>
      <c r="F331">
        <v>0</v>
      </c>
      <c r="G331">
        <v>0.45833333333333331</v>
      </c>
    </row>
    <row r="332" spans="1:7" x14ac:dyDescent="0.15">
      <c r="A332" t="str">
        <f>HYPERLINK("./new_k5/query_cmdrels_weight_analyze/0.6_0.2_0.2/su_638616.xlsx","su_638616")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HYPERLINK("./new_k5/query_cmdrels_weight_analyze/0.6_0.2_0.2/su_678113.xlsx","su_678113")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HYPERLINK("./new_k5/query_cmdrels_weight_analyze/0.6_0.2_0.2/su_686394.xlsx","su_686394")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HYPERLINK("./new_k5/query_cmdrels_weight_analyze/0.6_0.2_0.2/su_716795.xlsx","su_716795")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0.125</v>
      </c>
    </row>
    <row r="336" spans="1:7" x14ac:dyDescent="0.15">
      <c r="A336" t="str">
        <f>HYPERLINK("./new_k5/query_cmdrels_weight_analyze/0.6_0.2_0.2/su_758463.xlsx","su_758463")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HYPERLINK("./new_k5/query_cmdrels_weight_analyze/0.6_0.2_0.2/su_766437.xlsx","su_766437")</f>
        <v>su_766437</v>
      </c>
      <c r="B337">
        <v>0</v>
      </c>
      <c r="C337">
        <v>0</v>
      </c>
      <c r="D337">
        <v>0</v>
      </c>
      <c r="E337">
        <v>0.23333333333333331</v>
      </c>
      <c r="F337">
        <v>0.05</v>
      </c>
      <c r="G337">
        <v>0.35333333333333328</v>
      </c>
    </row>
    <row r="338" spans="1:7" x14ac:dyDescent="0.15">
      <c r="A338" t="str">
        <f>HYPERLINK("./new_k5/query_cmdrels_weight_analyze/0.6_0.2_0.2/su_904001.xlsx","su_904001")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HYPERLINK("./new_k5/query_cmdrels_weight_analyze/0.6_0.2_0.2/ul_100959.xlsx","ul_100959")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HYPERLINK("./new_k5/query_cmdrels_weight_analyze/0.6_0.2_0.2/ul_101073.xlsx","ul_101073")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HYPERLINK("./new_k5/query_cmdrels_weight_analyze/0.6_0.2_0.2/ul_101237.xlsx","ul_101237")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HYPERLINK("./new_k5/query_cmdrels_weight_analyze/0.6_0.2_0.2/ul_102752.xlsx","ul_102752")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HYPERLINK("./new_k5/query_cmdrels_weight_analyze/0.6_0.2_0.2/ul_108174.xlsx","ul_108174")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HYPERLINK("./new_k5/query_cmdrels_weight_analyze/0.6_0.2_0.2/ul_109536.xlsx","ul_109536")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HYPERLINK("./new_k5/query_cmdrels_weight_analyze/0.6_0.2_0.2/ul_112050.xlsx","ul_112050")</f>
        <v>ul_112050</v>
      </c>
      <c r="B345">
        <v>0</v>
      </c>
      <c r="C345">
        <v>0.25</v>
      </c>
      <c r="D345">
        <v>0.125</v>
      </c>
      <c r="E345">
        <v>0.75</v>
      </c>
      <c r="F345">
        <v>0.125</v>
      </c>
      <c r="G345">
        <v>0.75</v>
      </c>
    </row>
    <row r="346" spans="1:7" x14ac:dyDescent="0.15">
      <c r="A346" t="str">
        <f>HYPERLINK("./new_k5/query_cmdrels_weight_analyze/0.6_0.2_0.2/ul_116070.xlsx","ul_116070")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HYPERLINK("./new_k5/query_cmdrels_weight_analyze/0.6_0.2_0.2/ul_11851.xlsx","ul_11851")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HYPERLINK("./new_k5/query_cmdrels_weight_analyze/0.6_0.2_0.2/ul_119126.xlsx","ul_119126")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HYPERLINK("./new_k5/query_cmdrels_weight_analyze/0.6_0.2_0.2/ul_121718.xlsx","ul_121718")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HYPERLINK("./new_k5/query_cmdrels_weight_analyze/0.6_0.2_0.2/ul_12227.xlsx","ul_12227")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HYPERLINK("./new_k5/query_cmdrels_weight_analyze/0.6_0.2_0.2/ul_12453.xlsx","ul_12453")</f>
        <v>ul_12453</v>
      </c>
      <c r="B351">
        <v>0</v>
      </c>
      <c r="C351">
        <v>0.25</v>
      </c>
      <c r="D351">
        <v>0.125</v>
      </c>
      <c r="E351">
        <v>0.75</v>
      </c>
      <c r="F351">
        <v>0.125</v>
      </c>
      <c r="G351">
        <v>1</v>
      </c>
    </row>
    <row r="352" spans="1:7" x14ac:dyDescent="0.15">
      <c r="A352" t="str">
        <f>HYPERLINK("./new_k5/query_cmdrels_weight_analyze/0.6_0.2_0.2/ul_12535.xlsx","ul_12535")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0.16666666666666671</v>
      </c>
    </row>
    <row r="353" spans="1:7" x14ac:dyDescent="0.15">
      <c r="A353" t="str">
        <f>HYPERLINK("./new_k5/query_cmdrels_weight_analyze/0.6_0.2_0.2/ul_127066.xlsx","ul_127066")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0.56666666666666665</v>
      </c>
    </row>
    <row r="354" spans="1:7" x14ac:dyDescent="0.15">
      <c r="A354" t="str">
        <f>HYPERLINK("./new_k5/query_cmdrels_weight_analyze/0.6_0.2_0.2/ul_128953.xlsx","ul_128953")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HYPERLINK("./new_k5/query_cmdrels_weight_analyze/0.6_0.2_0.2/ul_134829.xlsx","ul_134829")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0.66666666666666663</v>
      </c>
    </row>
    <row r="356" spans="1:7" x14ac:dyDescent="0.15">
      <c r="A356" t="str">
        <f>HYPERLINK("./new_k5/query_cmdrels_weight_analyze/0.6_0.2_0.2/ul_136371.xlsx","ul_136371")</f>
        <v>ul_136371</v>
      </c>
      <c r="B356">
        <v>0</v>
      </c>
      <c r="C356">
        <v>0</v>
      </c>
      <c r="D356">
        <v>0</v>
      </c>
      <c r="E356">
        <v>0.16666666666666671</v>
      </c>
      <c r="F356">
        <v>0</v>
      </c>
      <c r="G356">
        <v>0.3</v>
      </c>
    </row>
    <row r="357" spans="1:7" x14ac:dyDescent="0.15">
      <c r="A357" t="str">
        <f>HYPERLINK("./new_k5/query_cmdrels_weight_analyze/0.6_0.2_0.2/ul_136884.xlsx","ul_136884")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HYPERLINK("./new_k5/query_cmdrels_weight_analyze/0.6_0.2_0.2/ul_138398.xlsx","ul_138398")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HYPERLINK("./new_k5/query_cmdrels_weight_analyze/0.6_0.2_0.2/ul_139271.xlsx","ul_139271")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0.5</v>
      </c>
      <c r="F359">
        <v>0.33333333333333331</v>
      </c>
      <c r="G359">
        <v>0.5</v>
      </c>
    </row>
    <row r="360" spans="1:7" x14ac:dyDescent="0.15">
      <c r="A360" t="str">
        <f>HYPERLINK("./new_k5/query_cmdrels_weight_analyze/0.6_0.2_0.2/ul_140482.xlsx","ul_140482")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HYPERLINK("./new_k5/query_cmdrels_weight_analyze/0.6_0.2_0.2/ul_14191.xlsx","ul_14191")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0.1111111111111111</v>
      </c>
    </row>
    <row r="362" spans="1:7" x14ac:dyDescent="0.15">
      <c r="A362" t="str">
        <f>HYPERLINK("./new_k5/query_cmdrels_weight_analyze/0.6_0.2_0.2/ul_145929.xlsx","ul_145929")</f>
        <v>ul_145929</v>
      </c>
      <c r="B362">
        <v>0</v>
      </c>
      <c r="C362">
        <v>0</v>
      </c>
      <c r="D362">
        <v>0.16666666666666671</v>
      </c>
      <c r="E362">
        <v>0.25</v>
      </c>
      <c r="F362">
        <v>0.16666666666666671</v>
      </c>
      <c r="G362">
        <v>0.5</v>
      </c>
    </row>
    <row r="363" spans="1:7" x14ac:dyDescent="0.15">
      <c r="A363" t="str">
        <f>HYPERLINK("./new_k5/query_cmdrels_weight_analyze/0.6_0.2_0.2/ul_148985.xlsx","ul_148985")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HYPERLINK("./new_k5/query_cmdrels_weight_analyze/0.6_0.2_0.2/ul_15405.xlsx","ul_15405")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HYPERLINK("./new_k5/query_cmdrels_weight_analyze/0.6_0.2_0.2/ul_155551.xlsx","ul_155551")</f>
        <v>ul_155551</v>
      </c>
      <c r="B365">
        <v>0</v>
      </c>
      <c r="C365">
        <v>0.5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HYPERLINK("./new_k5/query_cmdrels_weight_analyze/0.6_0.2_0.2/ul_159672.xlsx","ul_159672")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HYPERLINK("./new_k5/query_cmdrels_weight_analyze/0.6_0.2_0.2/ul_163845.xlsx","ul_163845")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HYPERLINK("./new_k5/query_cmdrels_weight_analyze/0.6_0.2_0.2/ul_16407.xlsx","ul_16407")</f>
        <v>ul_16407</v>
      </c>
      <c r="B368">
        <v>0.5</v>
      </c>
      <c r="C368">
        <v>0</v>
      </c>
      <c r="D368">
        <v>0.5</v>
      </c>
      <c r="E368">
        <v>0.25</v>
      </c>
      <c r="F368">
        <v>0.75</v>
      </c>
      <c r="G368">
        <v>0.25</v>
      </c>
    </row>
    <row r="369" spans="1:7" x14ac:dyDescent="0.15">
      <c r="A369" t="str">
        <f>HYPERLINK("./new_k5/query_cmdrels_weight_analyze/0.6_0.2_0.2/ul_166558.xlsx","ul_166558")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HYPERLINK("./new_k5/query_cmdrels_weight_analyze/0.6_0.2_0.2/ul_171314.xlsx","ul_171314")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0.27777777777777768</v>
      </c>
      <c r="F370">
        <v>0.16666666666666671</v>
      </c>
      <c r="G370">
        <v>0.37777777777777782</v>
      </c>
    </row>
    <row r="371" spans="1:7" x14ac:dyDescent="0.15">
      <c r="A371" t="str">
        <f>HYPERLINK("./new_k5/query_cmdrels_weight_analyze/0.6_0.2_0.2/ul_182032.xlsx","ul_182032")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HYPERLINK("./new_k5/query_cmdrels_weight_analyze/0.6_0.2_0.2/ul_19344.xlsx","ul_19344")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HYPERLINK("./new_k5/query_cmdrels_weight_analyze/0.6_0.2_0.2/ul_19369.xlsx","ul_19369")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0.1466666666666667</v>
      </c>
    </row>
    <row r="374" spans="1:7" x14ac:dyDescent="0.15">
      <c r="A374" t="str">
        <f>HYPERLINK("./new_k5/query_cmdrels_weight_analyze/0.6_0.2_0.2/ul_19485.xlsx","ul_19485")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HYPERLINK("./new_k5/query_cmdrels_weight_analyze/0.6_0.2_0.2/ul_20370.xlsx","ul_20370")</f>
        <v>ul_20370</v>
      </c>
      <c r="B375">
        <v>0</v>
      </c>
      <c r="C375">
        <v>0.5</v>
      </c>
      <c r="D375">
        <v>0</v>
      </c>
      <c r="E375">
        <v>0.5</v>
      </c>
      <c r="F375">
        <v>0</v>
      </c>
      <c r="G375">
        <v>0.5</v>
      </c>
    </row>
    <row r="376" spans="1:7" x14ac:dyDescent="0.15">
      <c r="A376" t="str">
        <f>HYPERLINK("./new_k5/query_cmdrels_weight_analyze/0.6_0.2_0.2/ul_211817.xlsx","ul_211817")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HYPERLINK("./new_k5/query_cmdrels_weight_analyze/0.6_0.2_0.2/ul_212925.xlsx","ul_212925")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HYPERLINK("./new_k5/query_cmdrels_weight_analyze/0.6_0.2_0.2/ul_21471.xlsx","ul_21471")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HYPERLINK("./new_k5/query_cmdrels_weight_analyze/0.6_0.2_0.2/ul_22545.xlsx","ul_22545")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HYPERLINK("./new_k5/query_cmdrels_weight_analyze/0.6_0.2_0.2/ul_230481.xlsx","ul_230481")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HYPERLINK("./new_k5/query_cmdrels_weight_analyze/0.6_0.2_0.2/ul_230673.xlsx","ul_230673")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0.5</v>
      </c>
    </row>
    <row r="382" spans="1:7" x14ac:dyDescent="0.15">
      <c r="A382" t="str">
        <f>HYPERLINK("./new_k5/query_cmdrels_weight_analyze/0.6_0.2_0.2/ul_230800.xlsx","ul_230800")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HYPERLINK("./new_k5/query_cmdrels_weight_analyze/0.6_0.2_0.2/ul_232384.xlsx","ul_232384")</f>
        <v>ul_232384</v>
      </c>
      <c r="B383">
        <v>0</v>
      </c>
      <c r="C383">
        <v>0.5</v>
      </c>
      <c r="D383">
        <v>0</v>
      </c>
      <c r="E383">
        <v>0.83333333333333326</v>
      </c>
      <c r="F383">
        <v>0</v>
      </c>
      <c r="G383">
        <v>0.83333333333333326</v>
      </c>
    </row>
    <row r="384" spans="1:7" x14ac:dyDescent="0.15">
      <c r="A384" t="str">
        <f>HYPERLINK("./new_k5/query_cmdrels_weight_analyze/0.6_0.2_0.2/ul_24441.xlsx","ul_24441")</f>
        <v>ul_24441</v>
      </c>
      <c r="B384">
        <v>0</v>
      </c>
      <c r="C384">
        <v>0</v>
      </c>
      <c r="D384">
        <v>0</v>
      </c>
      <c r="E384">
        <v>0.25</v>
      </c>
      <c r="F384">
        <v>0</v>
      </c>
      <c r="G384">
        <v>0.25</v>
      </c>
    </row>
    <row r="385" spans="1:7" x14ac:dyDescent="0.15">
      <c r="A385" t="str">
        <f>HYPERLINK("./new_k5/query_cmdrels_weight_analyze/0.6_0.2_0.2/ul_246535.xlsx","ul_246535")</f>
        <v>ul_246535</v>
      </c>
      <c r="B385">
        <v>0.2</v>
      </c>
      <c r="C385">
        <v>0.2</v>
      </c>
      <c r="D385">
        <v>0.2</v>
      </c>
      <c r="E385">
        <v>0.2</v>
      </c>
      <c r="F385">
        <v>0.2</v>
      </c>
      <c r="G385">
        <v>0.42</v>
      </c>
    </row>
    <row r="386" spans="1:7" x14ac:dyDescent="0.15">
      <c r="A386" t="str">
        <f>HYPERLINK("./new_k5/query_cmdrels_weight_analyze/0.6_0.2_0.2/ul_259791.xlsx","ul_259791")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HYPERLINK("./new_k5/query_cmdrels_weight_analyze/0.6_0.2_0.2/ul_273971.xlsx","ul_273971")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0.16666666666666671</v>
      </c>
      <c r="F387">
        <v>0.43333333333333329</v>
      </c>
      <c r="G387">
        <v>0.25</v>
      </c>
    </row>
    <row r="388" spans="1:7" x14ac:dyDescent="0.15">
      <c r="A388" t="str">
        <f>HYPERLINK("./new_k5/query_cmdrels_weight_analyze/0.6_0.2_0.2/ul_28553.xlsx","ul_28553")</f>
        <v>ul_28553</v>
      </c>
      <c r="B388">
        <v>0.25</v>
      </c>
      <c r="C388">
        <v>0</v>
      </c>
      <c r="D388">
        <v>0.5</v>
      </c>
      <c r="E388">
        <v>0.125</v>
      </c>
      <c r="F388">
        <v>0.5</v>
      </c>
      <c r="G388">
        <v>0.125</v>
      </c>
    </row>
    <row r="389" spans="1:7" x14ac:dyDescent="0.15">
      <c r="A389" t="str">
        <f>HYPERLINK("./new_k5/query_cmdrels_weight_analyze/0.6_0.2_0.2/ul_288521.xlsx","ul_288521")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HYPERLINK("./new_k5/query_cmdrels_weight_analyze/0.6_0.2_0.2/ul_32290.xlsx","ul_32290")</f>
        <v>ul_32290</v>
      </c>
      <c r="B390">
        <v>0</v>
      </c>
      <c r="C390">
        <v>0</v>
      </c>
      <c r="D390">
        <v>0</v>
      </c>
      <c r="E390">
        <v>8.3333333333333329E-2</v>
      </c>
      <c r="F390">
        <v>0</v>
      </c>
      <c r="G390">
        <v>8.3333333333333329E-2</v>
      </c>
    </row>
    <row r="391" spans="1:7" x14ac:dyDescent="0.15">
      <c r="A391" t="str">
        <f>HYPERLINK("./new_k5/query_cmdrels_weight_analyze/0.6_0.2_0.2/ul_328882.xlsx","ul_328882")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HYPERLINK("./new_k5/query_cmdrels_weight_analyze/0.6_0.2_0.2/ul_35131.xlsx","ul_35131")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0.8666666666666667</v>
      </c>
    </row>
    <row r="393" spans="1:7" x14ac:dyDescent="0.15">
      <c r="A393" t="str">
        <f>HYPERLINK("./new_k5/query_cmdrels_weight_analyze/0.6_0.2_0.2/ul_35333.xlsx","ul_35333")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HYPERLINK("./new_k5/query_cmdrels_weight_analyze/0.6_0.2_0.2/ul_35711.xlsx","ul_35711")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HYPERLINK("./new_k5/query_cmdrels_weight_analyze/0.6_0.2_0.2/ul_3575.xlsx","ul_3575")</f>
        <v>ul_3575</v>
      </c>
      <c r="B395">
        <v>0</v>
      </c>
      <c r="C395">
        <v>0</v>
      </c>
      <c r="D395">
        <v>8.3333333333333329E-2</v>
      </c>
      <c r="E395">
        <v>8.3333333333333329E-2</v>
      </c>
      <c r="F395">
        <v>8.3333333333333329E-2</v>
      </c>
      <c r="G395">
        <v>8.3333333333333329E-2</v>
      </c>
    </row>
    <row r="396" spans="1:7" x14ac:dyDescent="0.15">
      <c r="A396" t="str">
        <f>HYPERLINK("./new_k5/query_cmdrels_weight_analyze/0.6_0.2_0.2/ul_35832.xlsx","ul_35832")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HYPERLINK("./new_k5/query_cmdrels_weight_analyze/0.6_0.2_0.2/ul_370318.xlsx","ul_370318")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0.23809523809523811</v>
      </c>
      <c r="F397">
        <v>0.14285714285714279</v>
      </c>
      <c r="G397">
        <v>0.34523809523809518</v>
      </c>
    </row>
    <row r="398" spans="1:7" x14ac:dyDescent="0.15">
      <c r="A398" t="str">
        <f>HYPERLINK("./new_k5/query_cmdrels_weight_analyze/0.6_0.2_0.2/ul_37329.xlsx","ul_37329")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0.66666666666666663</v>
      </c>
      <c r="F398">
        <v>0.33333333333333331</v>
      </c>
      <c r="G398">
        <v>0.66666666666666663</v>
      </c>
    </row>
    <row r="399" spans="1:7" x14ac:dyDescent="0.15">
      <c r="A399" t="str">
        <f>HYPERLINK("./new_k5/query_cmdrels_weight_analyze/0.6_0.2_0.2/ul_38209.xlsx","ul_38209")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HYPERLINK("./new_k5/query_cmdrels_weight_analyze/0.6_0.2_0.2/ul_41246.xlsx","ul_41246")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HYPERLINK("./new_k5/query_cmdrels_weight_analyze/0.6_0.2_0.2/ul_41362.xlsx","ul_41362")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6.25E-2</v>
      </c>
    </row>
    <row r="402" spans="1:7" x14ac:dyDescent="0.15">
      <c r="A402" t="str">
        <f>HYPERLINK("./new_k5/query_cmdrels_weight_analyze/0.6_0.2_0.2/ul_48200.xlsx","ul_48200")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HYPERLINK("./new_k5/query_cmdrels_weight_analyze/0.6_0.2_0.2/ul_50098.xlsx","ul_50098")</f>
        <v>ul_50098</v>
      </c>
      <c r="B403">
        <v>0</v>
      </c>
      <c r="C403">
        <v>0.1</v>
      </c>
      <c r="D403">
        <v>0.1166666666666667</v>
      </c>
      <c r="E403">
        <v>0.16666666666666671</v>
      </c>
      <c r="F403">
        <v>0.1166666666666667</v>
      </c>
      <c r="G403">
        <v>0.22666666666666671</v>
      </c>
    </row>
    <row r="404" spans="1:7" x14ac:dyDescent="0.15">
      <c r="A404" t="str">
        <f>HYPERLINK("./new_k5/query_cmdrels_weight_analyze/0.6_0.2_0.2/ul_50785.xlsx","ul_50785")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HYPERLINK("./new_k5/query_cmdrels_weight_analyze/0.6_0.2_0.2/ul_5085.xlsx","ul_5085")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HYPERLINK("./new_k5/query_cmdrels_weight_analyze/0.6_0.2_0.2/ul_53737.xlsx","ul_53737")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HYPERLINK("./new_k5/query_cmdrels_weight_analyze/0.6_0.2_0.2/ul_55125.xlsx","ul_55125")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HYPERLINK("./new_k5/query_cmdrels_weight_analyze/0.6_0.2_0.2/ul_56453.xlsx","ul_56453")</f>
        <v>ul_56453</v>
      </c>
      <c r="B408">
        <v>0</v>
      </c>
      <c r="C408">
        <v>0.25</v>
      </c>
      <c r="D408">
        <v>8.3333333333333329E-2</v>
      </c>
      <c r="E408">
        <v>0.25</v>
      </c>
      <c r="F408">
        <v>8.3333333333333329E-2</v>
      </c>
      <c r="G408">
        <v>0.375</v>
      </c>
    </row>
    <row r="409" spans="1:7" x14ac:dyDescent="0.15">
      <c r="A409" t="str">
        <f>HYPERLINK("./new_k5/query_cmdrels_weight_analyze/0.6_0.2_0.2/ul_63648.xlsx","ul_63648")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HYPERLINK("./new_k5/query_cmdrels_weight_analyze/0.6_0.2_0.2/ul_6402.xlsx","ul_6402")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0.33333333333333331</v>
      </c>
    </row>
    <row r="411" spans="1:7" x14ac:dyDescent="0.15">
      <c r="A411" t="str">
        <f>HYPERLINK("./new_k5/query_cmdrels_weight_analyze/0.6_0.2_0.2/ul_65106.xlsx","ul_65106")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0.66666666666666663</v>
      </c>
    </row>
    <row r="412" spans="1:7" x14ac:dyDescent="0.15">
      <c r="A412" t="str">
        <f>HYPERLINK("./new_k5/query_cmdrels_weight_analyze/0.6_0.2_0.2/ul_65932.xlsx","ul_65932")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HYPERLINK("./new_k5/query_cmdrels_weight_analyze/0.6_0.2_0.2/ul_6596.xlsx","ul_6596")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HYPERLINK("./new_k5/query_cmdrels_weight_analyze/0.6_0.2_0.2/ul_67503.xlsx","ul_67503")</f>
        <v>ul_67503</v>
      </c>
      <c r="B414">
        <v>0</v>
      </c>
      <c r="C414">
        <v>0.5</v>
      </c>
      <c r="D414">
        <v>0.25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HYPERLINK("./new_k5/query_cmdrels_weight_analyze/0.6_0.2_0.2/ul_67592.xlsx","ul_67592")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HYPERLINK("./new_k5/query_cmdrels_weight_analyze/0.6_0.2_0.2/ul_70581.xlsx","ul_70581")</f>
        <v>ul_70581</v>
      </c>
      <c r="B416">
        <v>0</v>
      </c>
      <c r="C416">
        <v>0.2</v>
      </c>
      <c r="D416">
        <v>0.1</v>
      </c>
      <c r="E416">
        <v>0.6</v>
      </c>
      <c r="F416">
        <v>0.1</v>
      </c>
      <c r="G416">
        <v>0.6</v>
      </c>
    </row>
    <row r="417" spans="1:7" x14ac:dyDescent="0.15">
      <c r="A417" t="str">
        <f>HYPERLINK("./new_k5/query_cmdrels_weight_analyze/0.6_0.2_0.2/ul_70614.xlsx","ul_70614")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HYPERLINK("./new_k5/query_cmdrels_weight_analyze/0.6_0.2_0.2/ul_71465.xlsx","ul_71465")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HYPERLINK("./new_k5/query_cmdrels_weight_analyze/0.6_0.2_0.2/ul_7226.xlsx","ul_7226")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0.33333333333333331</v>
      </c>
      <c r="F419">
        <v>0.33333333333333331</v>
      </c>
      <c r="G419">
        <v>0.5</v>
      </c>
    </row>
    <row r="420" spans="1:7" x14ac:dyDescent="0.15">
      <c r="A420" t="str">
        <f>HYPERLINK("./new_k5/query_cmdrels_weight_analyze/0.6_0.2_0.2/ul_78182.xlsx","ul_78182")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</v>
      </c>
    </row>
    <row r="421" spans="1:7" x14ac:dyDescent="0.15">
      <c r="A421" t="str">
        <f>HYPERLINK("./new_k5/query_cmdrels_weight_analyze/0.6_0.2_0.2/ul_79678.xlsx","ul_79678")</f>
        <v>ul_79678</v>
      </c>
      <c r="B421">
        <v>0</v>
      </c>
      <c r="C421">
        <v>0</v>
      </c>
      <c r="D421">
        <v>0.25</v>
      </c>
      <c r="E421">
        <v>0.16666666666666671</v>
      </c>
      <c r="F421">
        <v>0.25</v>
      </c>
      <c r="G421">
        <v>0.16666666666666671</v>
      </c>
    </row>
    <row r="422" spans="1:7" x14ac:dyDescent="0.15">
      <c r="A422" t="str">
        <f>HYPERLINK("./new_k5/query_cmdrels_weight_analyze/0.6_0.2_0.2/ul_79702.xlsx","ul_79702")</f>
        <v>ul_79702</v>
      </c>
      <c r="B422">
        <v>0</v>
      </c>
      <c r="C422">
        <v>0.33333333333333331</v>
      </c>
      <c r="D422">
        <v>0</v>
      </c>
      <c r="E422">
        <v>0.66666666666666663</v>
      </c>
      <c r="F422">
        <v>0</v>
      </c>
      <c r="G422">
        <v>0.8666666666666667</v>
      </c>
    </row>
    <row r="423" spans="1:7" x14ac:dyDescent="0.15">
      <c r="A423" t="str">
        <f>HYPERLINK("./new_k5/query_cmdrels_weight_analyze/0.6_0.2_0.2/ul_83593.xlsx","ul_83593")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HYPERLINK("./new_k5/query_cmdrels_weight_analyze/0.6_0.2_0.2/ul_84381.xlsx","ul_84381")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HYPERLINK("./new_k5/query_cmdrels_weight_analyze/0.6_0.2_0.2/ul_85180.xlsx","ul_85180")</f>
        <v>ul_85180</v>
      </c>
      <c r="B425">
        <v>0</v>
      </c>
      <c r="C425">
        <v>0.33333333333333331</v>
      </c>
      <c r="D425">
        <v>0.16666666666666671</v>
      </c>
      <c r="E425">
        <v>0.33333333333333331</v>
      </c>
      <c r="F425">
        <v>0.16666666666666671</v>
      </c>
      <c r="G425">
        <v>0.5</v>
      </c>
    </row>
    <row r="426" spans="1:7" x14ac:dyDescent="0.15">
      <c r="A426" t="str">
        <f>HYPERLINK("./new_k5/query_cmdrels_weight_analyze/0.6_0.2_0.2/ul_86071.xlsx","ul_86071")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HYPERLINK("./new_k5/query_cmdrels_weight_analyze/0.6_0.2_0.2/ul_86729.xlsx","ul_86729")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HYPERLINK("./new_k5/query_cmdrels_weight_analyze/0.6_0.2_0.2/ul_88824.xlsx","ul_88824")</f>
        <v>ul_88824</v>
      </c>
      <c r="B428">
        <v>0</v>
      </c>
      <c r="C428">
        <v>0.33333333333333331</v>
      </c>
      <c r="D428">
        <v>0</v>
      </c>
      <c r="E428">
        <v>0.66666666666666663</v>
      </c>
      <c r="F428">
        <v>0</v>
      </c>
      <c r="G428">
        <v>0.66666666666666663</v>
      </c>
    </row>
    <row r="429" spans="1:7" x14ac:dyDescent="0.15">
      <c r="A429" t="str">
        <f>HYPERLINK("./new_k5/query_cmdrels_weight_analyze/0.6_0.2_0.2/ul_8945.xlsx","ul_8945")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HYPERLINK("./new_k5/query_cmdrels_weight_analyze/0.6_0.2_0.2/ul_89933.xlsx","ul_89933")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HYPERLINK("./new_k5/query_cmdrels_weight_analyze/0.6_0.2_0.2/ul_91297.xlsx","ul_91297")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HYPERLINK("./new_k5/query_cmdrels_weight_analyze/0.6_0.2_0.2/ul_9252.xlsx","ul_9252")</f>
        <v>ul_9252</v>
      </c>
      <c r="B432">
        <v>0</v>
      </c>
      <c r="C432">
        <v>0</v>
      </c>
      <c r="D432">
        <v>0.23333333333333331</v>
      </c>
      <c r="E432">
        <v>6.6666666666666666E-2</v>
      </c>
      <c r="F432">
        <v>0.23333333333333331</v>
      </c>
      <c r="G432">
        <v>0.1466666666666667</v>
      </c>
    </row>
    <row r="433" spans="1:7" x14ac:dyDescent="0.15">
      <c r="A433" t="str">
        <f>HYPERLINK("./new_k5/query_cmdrels_weight_analyze/0.6_0.2_0.2/ul_92560.xlsx","ul_92560")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0.7</v>
      </c>
    </row>
    <row r="434" spans="1:7" x14ac:dyDescent="0.15">
      <c r="A434" t="str">
        <f>HYPERLINK("./new_k5/query_cmdrels_weight_analyze/0.6_0.2_0.2/ul_92799.xlsx","ul_92799")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0.27777777777777768</v>
      </c>
      <c r="F434">
        <v>0.53611111111111109</v>
      </c>
      <c r="G434">
        <v>0.53611111111111109</v>
      </c>
    </row>
    <row r="435" spans="1:7" x14ac:dyDescent="0.15">
      <c r="A435" t="str">
        <f>HYPERLINK("./new_k5/query_cmdrels_weight_analyze/0.6_0.2_0.2/ul_93139.xlsx","ul_93139")</f>
        <v>ul_93139</v>
      </c>
      <c r="B435">
        <v>0</v>
      </c>
      <c r="C435">
        <v>0.5</v>
      </c>
      <c r="D435">
        <v>0.25</v>
      </c>
      <c r="E435">
        <v>0.5</v>
      </c>
      <c r="F435">
        <v>0.25</v>
      </c>
      <c r="G435">
        <v>0.5</v>
      </c>
    </row>
    <row r="436" spans="1:7" x14ac:dyDescent="0.15">
      <c r="A436" t="str">
        <f>HYPERLINK("./new_k5/query_cmdrels_weight_analyze/0.6_0.2_0.2/ul_98461.xlsx","ul_98461")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HYPERLINK("./new_k5/query_cmdrels_weight_analyze/0.6_0.3_0.1/au_102733.xlsx","au_102733")</f>
        <v>au_102733</v>
      </c>
      <c r="B3">
        <v>0.25</v>
      </c>
      <c r="C3">
        <v>0</v>
      </c>
      <c r="D3">
        <v>0.5</v>
      </c>
      <c r="E3">
        <v>0.125</v>
      </c>
      <c r="F3">
        <v>0.5</v>
      </c>
      <c r="G3">
        <v>0.125</v>
      </c>
    </row>
    <row r="4" spans="1:7" x14ac:dyDescent="0.15">
      <c r="A4" t="str">
        <f>HYPERLINK("./new_k5/query_cmdrels_weight_analyze/0.6_0.3_0.1/au_1029436.xlsx","au_1029436")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HYPERLINK("./new_k5/query_cmdrels_weight_analyze/0.6_0.3_0.1/au_1029502.xlsx","au_1029502")</f>
        <v>au_1029502</v>
      </c>
      <c r="B5">
        <v>0.25</v>
      </c>
      <c r="C5">
        <v>0</v>
      </c>
      <c r="D5">
        <v>0.25</v>
      </c>
      <c r="E5">
        <v>8.3333333333333329E-2</v>
      </c>
      <c r="F5">
        <v>0.375</v>
      </c>
      <c r="G5">
        <v>8.3333333333333329E-2</v>
      </c>
    </row>
    <row r="6" spans="1:7" x14ac:dyDescent="0.15">
      <c r="A6" t="str">
        <f>HYPERLINK("./new_k5/query_cmdrels_weight_analyze/0.6_0.3_0.1/au_1029531.xlsx","au_1029531")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HYPERLINK("./new_k5/query_cmdrels_weight_analyze/0.6_0.3_0.1/au_104542.xlsx","au_104542")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HYPERLINK("./new_k5/query_cmdrels_weight_analyze/0.6_0.3_0.1/au_109070.xlsx","au_109070")</f>
        <v>au_109070</v>
      </c>
      <c r="B8">
        <v>0</v>
      </c>
      <c r="C8">
        <v>0</v>
      </c>
      <c r="D8">
        <v>0.23333333333333331</v>
      </c>
      <c r="E8">
        <v>0</v>
      </c>
      <c r="F8">
        <v>0.3833333333333333</v>
      </c>
      <c r="G8">
        <v>0.05</v>
      </c>
    </row>
    <row r="9" spans="1:7" x14ac:dyDescent="0.15">
      <c r="A9" t="str">
        <f>HYPERLINK("./new_k5/query_cmdrels_weight_analyze/0.6_0.3_0.1/au_109381.xlsx","au_109381")</f>
        <v>au_109381</v>
      </c>
      <c r="B9">
        <v>0</v>
      </c>
      <c r="C9">
        <v>0.5</v>
      </c>
      <c r="D9">
        <v>0.25</v>
      </c>
      <c r="E9">
        <v>0.5</v>
      </c>
      <c r="F9">
        <v>0.25</v>
      </c>
      <c r="G9">
        <v>0.7</v>
      </c>
    </row>
    <row r="10" spans="1:7" x14ac:dyDescent="0.15">
      <c r="A10" t="str">
        <f>HYPERLINK("./new_k5/query_cmdrels_weight_analyze/0.6_0.3_0.1/au_110477.xlsx","au_110477")</f>
        <v>au_110477</v>
      </c>
      <c r="B10">
        <v>0.25</v>
      </c>
      <c r="C10">
        <v>0.25</v>
      </c>
      <c r="D10">
        <v>0.5</v>
      </c>
      <c r="E10">
        <v>0.75</v>
      </c>
      <c r="F10">
        <v>0.5</v>
      </c>
      <c r="G10">
        <v>0.75</v>
      </c>
    </row>
    <row r="11" spans="1:7" x14ac:dyDescent="0.15">
      <c r="A11" t="str">
        <f>HYPERLINK("./new_k5/query_cmdrels_weight_analyze/0.6_0.3_0.1/au_111678.xlsx","au_111678")</f>
        <v>au_111678</v>
      </c>
      <c r="B11">
        <v>0</v>
      </c>
      <c r="C11">
        <v>0.33333333333333331</v>
      </c>
      <c r="D11">
        <v>0.1111111111111111</v>
      </c>
      <c r="E11">
        <v>0.33333333333333331</v>
      </c>
      <c r="F11">
        <v>0.1111111111111111</v>
      </c>
      <c r="G11">
        <v>0.33333333333333331</v>
      </c>
    </row>
    <row r="12" spans="1:7" x14ac:dyDescent="0.15">
      <c r="A12" t="str">
        <f>HYPERLINK("./new_k5/query_cmdrels_weight_analyze/0.6_0.3_0.1/au_112512.xlsx","au_112512")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HYPERLINK("./new_k5/query_cmdrels_weight_analyze/0.6_0.3_0.1/au_115369.xlsx","au_115369")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HYPERLINK("./new_k5/query_cmdrels_weight_analyze/0.6_0.3_0.1/au_11789.xlsx","au_11789")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HYPERLINK("./new_k5/query_cmdrels_weight_analyze/0.6_0.3_0.1/au_117950.xlsx","au_117950")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0.32500000000000001</v>
      </c>
    </row>
    <row r="16" spans="1:7" x14ac:dyDescent="0.15">
      <c r="A16" t="str">
        <f>HYPERLINK("./new_k5/query_cmdrels_weight_analyze/0.6_0.3_0.1/au_122113.xlsx","au_122113")</f>
        <v>au_122113</v>
      </c>
      <c r="B16">
        <v>0.25</v>
      </c>
      <c r="C16">
        <v>0</v>
      </c>
      <c r="D16">
        <v>0.25</v>
      </c>
      <c r="E16">
        <v>8.3333333333333329E-2</v>
      </c>
      <c r="F16">
        <v>0.25</v>
      </c>
      <c r="G16">
        <v>0.20833333333333329</v>
      </c>
    </row>
    <row r="17" spans="1:7" x14ac:dyDescent="0.15">
      <c r="A17" t="str">
        <f>HYPERLINK("./new_k5/query_cmdrels_weight_analyze/0.6_0.3_0.1/au_123798.xlsx","au_123798")</f>
        <v>au_123798</v>
      </c>
      <c r="B17">
        <v>0</v>
      </c>
      <c r="C17">
        <v>0</v>
      </c>
      <c r="D17">
        <v>5.5555555555555552E-2</v>
      </c>
      <c r="E17">
        <v>8.3333333333333329E-2</v>
      </c>
      <c r="F17">
        <v>0.23888888888888879</v>
      </c>
      <c r="G17">
        <v>0.26666666666666672</v>
      </c>
    </row>
    <row r="18" spans="1:7" x14ac:dyDescent="0.15">
      <c r="A18" t="str">
        <f>HYPERLINK("./new_k5/query_cmdrels_weight_analyze/0.6_0.3_0.1/au_125257.xlsx","au_125257")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HYPERLINK("./new_k5/query_cmdrels_weight_analyze/0.6_0.3_0.1/au_126153.xlsx","au_126153")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0.33333333333333331</v>
      </c>
      <c r="F19">
        <v>0.45833333333333331</v>
      </c>
      <c r="G19">
        <v>0.43333333333333329</v>
      </c>
    </row>
    <row r="20" spans="1:7" x14ac:dyDescent="0.15">
      <c r="A20" t="str">
        <f>HYPERLINK("./new_k5/query_cmdrels_weight_analyze/0.6_0.3_0.1/au_127326.xlsx","au_127326")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HYPERLINK("./new_k5/query_cmdrels_weight_analyze/0.6_0.3_0.1/au_128463.xlsx","au_128463")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HYPERLINK("./new_k5/query_cmdrels_weight_analyze/0.6_0.3_0.1/au_130393.xlsx","au_130393")</f>
        <v>au_130393</v>
      </c>
      <c r="B22">
        <v>0</v>
      </c>
      <c r="C22">
        <v>0</v>
      </c>
      <c r="D22">
        <v>0.125</v>
      </c>
      <c r="E22">
        <v>0.125</v>
      </c>
      <c r="F22">
        <v>0.125</v>
      </c>
      <c r="G22">
        <v>0.25</v>
      </c>
    </row>
    <row r="23" spans="1:7" x14ac:dyDescent="0.15">
      <c r="A23" t="str">
        <f>HYPERLINK("./new_k5/query_cmdrels_weight_analyze/0.6_0.3_0.1/au_131570.xlsx","au_131570")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HYPERLINK("./new_k5/query_cmdrels_weight_analyze/0.6_0.3_0.1/au_133318.xlsx","au_133318")</f>
        <v>au_133318</v>
      </c>
      <c r="B24">
        <v>0</v>
      </c>
      <c r="C24">
        <v>0.25</v>
      </c>
      <c r="D24">
        <v>0</v>
      </c>
      <c r="E24">
        <v>0.41666666666666657</v>
      </c>
      <c r="F24">
        <v>0</v>
      </c>
      <c r="G24">
        <v>0.41666666666666657</v>
      </c>
    </row>
    <row r="25" spans="1:7" x14ac:dyDescent="0.15">
      <c r="A25" t="str">
        <f>HYPERLINK("./new_k5/query_cmdrels_weight_analyze/0.6_0.3_0.1/au_133343.xlsx","au_133343")</f>
        <v>au_133343</v>
      </c>
      <c r="B25">
        <v>0</v>
      </c>
      <c r="C25">
        <v>0.33333333333333331</v>
      </c>
      <c r="D25">
        <v>0</v>
      </c>
      <c r="E25">
        <v>0.66666666666666663</v>
      </c>
      <c r="F25">
        <v>0</v>
      </c>
      <c r="G25">
        <v>0.66666666666666663</v>
      </c>
    </row>
    <row r="26" spans="1:7" x14ac:dyDescent="0.15">
      <c r="A26" t="str">
        <f>HYPERLINK("./new_k5/query_cmdrels_weight_analyze/0.6_0.3_0.1/au_133389.xlsx","au_133389")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HYPERLINK("./new_k5/query_cmdrels_weight_analyze/0.6_0.3_0.1/au_141277.xlsx","au_141277")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HYPERLINK("./new_k5/query_cmdrels_weight_analyze/0.6_0.3_0.1/au_143819.xlsx","au_143819")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HYPERLINK("./new_k5/query_cmdrels_weight_analyze/0.6_0.3_0.1/au_145935.xlsx","au_145935")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HYPERLINK("./new_k5/query_cmdrels_weight_analyze/0.6_0.3_0.1/au_147241.xlsx","au_147241")</f>
        <v>au_147241</v>
      </c>
      <c r="B30">
        <v>0</v>
      </c>
      <c r="C30">
        <v>0</v>
      </c>
      <c r="D30">
        <v>0.29166666666666657</v>
      </c>
      <c r="E30">
        <v>0.29166666666666657</v>
      </c>
      <c r="F30">
        <v>0.29166666666666657</v>
      </c>
      <c r="G30">
        <v>0.47916666666666657</v>
      </c>
    </row>
    <row r="31" spans="1:7" x14ac:dyDescent="0.15">
      <c r="A31" t="str">
        <f>HYPERLINK("./new_k5/query_cmdrels_weight_analyze/0.6_0.3_0.1/au_147800.xlsx","au_147800")</f>
        <v>au_147800</v>
      </c>
      <c r="B31">
        <v>0</v>
      </c>
      <c r="C31">
        <v>0.33333333333333331</v>
      </c>
      <c r="D31">
        <v>0.1111111111111111</v>
      </c>
      <c r="E31">
        <v>0.33333333333333331</v>
      </c>
      <c r="F31">
        <v>0.1111111111111111</v>
      </c>
      <c r="G31">
        <v>0.33333333333333331</v>
      </c>
    </row>
    <row r="32" spans="1:7" x14ac:dyDescent="0.15">
      <c r="A32" t="str">
        <f>HYPERLINK("./new_k5/query_cmdrels_weight_analyze/0.6_0.3_0.1/au_148321.xlsx","au_148321")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0.40277777777777768</v>
      </c>
    </row>
    <row r="33" spans="1:7" x14ac:dyDescent="0.15">
      <c r="A33" t="str">
        <f>HYPERLINK("./new_k5/query_cmdrels_weight_analyze/0.6_0.3_0.1/au_148638.xlsx","au_148638")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HYPERLINK("./new_k5/query_cmdrels_weight_analyze/0.6_0.3_0.1/au_151049.xlsx","au_151049")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HYPERLINK("./new_k5/query_cmdrels_weight_analyze/0.6_0.3_0.1/au_151941.xlsx","au_151941")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HYPERLINK("./new_k5/query_cmdrels_weight_analyze/0.6_0.3_0.1/au_152297.xlsx","au_152297")</f>
        <v>au_152297</v>
      </c>
      <c r="B36">
        <v>0</v>
      </c>
      <c r="C36">
        <v>0</v>
      </c>
      <c r="D36">
        <v>7.1428571428571425E-2</v>
      </c>
      <c r="E36">
        <v>7.1428571428571425E-2</v>
      </c>
      <c r="F36">
        <v>7.1428571428571425E-2</v>
      </c>
      <c r="G36">
        <v>0.22857142857142859</v>
      </c>
    </row>
    <row r="37" spans="1:7" x14ac:dyDescent="0.15">
      <c r="A37" t="str">
        <f>HYPERLINK("./new_k5/query_cmdrels_weight_analyze/0.6_0.3_0.1/au_153976.xlsx","au_153976")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0.16666666666666671</v>
      </c>
      <c r="F37">
        <v>0.33333333333333331</v>
      </c>
      <c r="G37">
        <v>0.35</v>
      </c>
    </row>
    <row r="38" spans="1:7" x14ac:dyDescent="0.15">
      <c r="A38" t="str">
        <f>HYPERLINK("./new_k5/query_cmdrels_weight_analyze/0.6_0.3_0.1/au_154431.xlsx","au_154431")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HYPERLINK("./new_k5/query_cmdrels_weight_analyze/0.6_0.3_0.1/au_159708.xlsx","au_159708")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0.33333333333333331</v>
      </c>
      <c r="F39">
        <v>0.33333333333333331</v>
      </c>
      <c r="G39">
        <v>0.33333333333333331</v>
      </c>
    </row>
    <row r="40" spans="1:7" x14ac:dyDescent="0.15">
      <c r="A40" t="str">
        <f>HYPERLINK("./new_k5/query_cmdrels_weight_analyze/0.6_0.3_0.1/au_160869.xlsx","au_160869")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HYPERLINK("./new_k5/query_cmdrels_weight_analyze/0.6_0.3_0.1/au_161313.xlsx","au_161313")</f>
        <v>au_161313</v>
      </c>
      <c r="B41">
        <v>0.5</v>
      </c>
      <c r="C41">
        <v>0</v>
      </c>
      <c r="D41">
        <v>0.5</v>
      </c>
      <c r="E41">
        <v>0.16666666666666671</v>
      </c>
      <c r="F41">
        <v>0.5</v>
      </c>
      <c r="G41">
        <v>0.16666666666666671</v>
      </c>
    </row>
    <row r="42" spans="1:7" x14ac:dyDescent="0.15">
      <c r="A42" t="str">
        <f>HYPERLINK("./new_k5/query_cmdrels_weight_analyze/0.6_0.3_0.1/au_162075.xlsx","au_162075")</f>
        <v>au_162075</v>
      </c>
      <c r="B42">
        <v>0.25</v>
      </c>
      <c r="C42">
        <v>0.25</v>
      </c>
      <c r="D42">
        <v>0.5</v>
      </c>
      <c r="E42">
        <v>0.5</v>
      </c>
      <c r="F42">
        <v>0.5</v>
      </c>
      <c r="G42">
        <v>0.5</v>
      </c>
    </row>
    <row r="43" spans="1:7" x14ac:dyDescent="0.15">
      <c r="A43" t="str">
        <f>HYPERLINK("./new_k5/query_cmdrels_weight_analyze/0.6_0.3_0.1/au_16277.xlsx","au_16277")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0.83333333333333337</v>
      </c>
    </row>
    <row r="44" spans="1:7" x14ac:dyDescent="0.15">
      <c r="A44" t="str">
        <f>HYPERLINK("./new_k5/query_cmdrels_weight_analyze/0.6_0.3_0.1/au_163155.xlsx","au_163155")</f>
        <v>au_163155</v>
      </c>
      <c r="B44">
        <v>0.125</v>
      </c>
      <c r="C44">
        <v>0.125</v>
      </c>
      <c r="D44">
        <v>0.375</v>
      </c>
      <c r="E44">
        <v>0.20833333333333329</v>
      </c>
      <c r="F44">
        <v>0.5</v>
      </c>
      <c r="G44">
        <v>0.40208333333333329</v>
      </c>
    </row>
    <row r="45" spans="1:7" x14ac:dyDescent="0.15">
      <c r="A45" t="str">
        <f>HYPERLINK("./new_k5/query_cmdrels_weight_analyze/0.6_0.3_0.1/au_164473.xlsx","au_164473")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HYPERLINK("./new_k5/query_cmdrels_weight_analyze/0.6_0.3_0.1/au_16584.xlsx","au_16584")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0.15151515151515149</v>
      </c>
      <c r="F46">
        <v>0.13636363636363641</v>
      </c>
      <c r="G46">
        <v>0.2196969696969697</v>
      </c>
    </row>
    <row r="47" spans="1:7" x14ac:dyDescent="0.15">
      <c r="A47" t="str">
        <f>HYPERLINK("./new_k5/query_cmdrels_weight_analyze/0.6_0.3_0.1/au_166420.xlsx","au_166420")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HYPERLINK("./new_k5/query_cmdrels_weight_analyze/0.6_0.3_0.1/au_169473.xlsx","au_169473")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0.16666666666666671</v>
      </c>
      <c r="F48">
        <v>0.43333333333333329</v>
      </c>
      <c r="G48">
        <v>0.35</v>
      </c>
    </row>
    <row r="49" spans="1:7" x14ac:dyDescent="0.15">
      <c r="A49" t="str">
        <f>HYPERLINK("./new_k5/query_cmdrels_weight_analyze/0.6_0.3_0.1/au_169516.xlsx","au_169516")</f>
        <v>au_169516</v>
      </c>
      <c r="B49">
        <v>0.25</v>
      </c>
      <c r="C49">
        <v>0.25</v>
      </c>
      <c r="D49">
        <v>0.25</v>
      </c>
      <c r="E49">
        <v>0.41666666666666657</v>
      </c>
      <c r="F49">
        <v>0.25</v>
      </c>
      <c r="G49">
        <v>0.41666666666666657</v>
      </c>
    </row>
    <row r="50" spans="1:7" x14ac:dyDescent="0.15">
      <c r="A50" t="str">
        <f>HYPERLINK("./new_k5/query_cmdrels_weight_analyze/0.6_0.3_0.1/au_174292.xlsx","au_174292")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HYPERLINK("./new_k5/query_cmdrels_weight_analyze/0.6_0.3_0.1/au_178481.xlsx","au_178481")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HYPERLINK("./new_k5/query_cmdrels_weight_analyze/0.6_0.3_0.1/au_180925.xlsx","au_180925")</f>
        <v>au_180925</v>
      </c>
      <c r="B52">
        <v>0.5</v>
      </c>
      <c r="C52">
        <v>0</v>
      </c>
      <c r="D52">
        <v>0.5</v>
      </c>
      <c r="E52">
        <v>0.25</v>
      </c>
      <c r="F52">
        <v>0.5</v>
      </c>
      <c r="G52">
        <v>0.25</v>
      </c>
    </row>
    <row r="53" spans="1:7" x14ac:dyDescent="0.15">
      <c r="A53" t="str">
        <f>HYPERLINK("./new_k5/query_cmdrels_weight_analyze/0.6_0.3_0.1/au_187888.xlsx","au_187888")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HYPERLINK("./new_k5/query_cmdrels_weight_analyze/0.6_0.3_0.1/au_191390.xlsx","au_191390")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HYPERLINK("./new_k5/query_cmdrels_weight_analyze/0.6_0.3_0.1/au_192798.xlsx","au_192798")</f>
        <v>au_192798</v>
      </c>
      <c r="B55">
        <v>0</v>
      </c>
      <c r="C55">
        <v>0</v>
      </c>
      <c r="D55">
        <v>0</v>
      </c>
      <c r="E55">
        <v>0.5</v>
      </c>
      <c r="F55">
        <v>0</v>
      </c>
      <c r="G55">
        <v>0.5</v>
      </c>
    </row>
    <row r="56" spans="1:7" x14ac:dyDescent="0.15">
      <c r="A56" t="str">
        <f>HYPERLINK("./new_k5/query_cmdrels_weight_analyze/0.6_0.3_0.1/au_201775.xlsx","au_201775")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0.33333333333333331</v>
      </c>
      <c r="F56">
        <v>0.66666666666666663</v>
      </c>
      <c r="G56">
        <v>0.70000000000000007</v>
      </c>
    </row>
    <row r="57" spans="1:7" x14ac:dyDescent="0.15">
      <c r="A57" t="str">
        <f>HYPERLINK("./new_k5/query_cmdrels_weight_analyze/0.6_0.3_0.1/au_204166.xlsx","au_204166")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HYPERLINK("./new_k5/query_cmdrels_weight_analyze/0.6_0.3_0.1/au_207447.xlsx","au_207447")</f>
        <v>au_207447</v>
      </c>
      <c r="B58">
        <v>0.33333333333333331</v>
      </c>
      <c r="C58">
        <v>0</v>
      </c>
      <c r="D58">
        <v>0.33333333333333331</v>
      </c>
      <c r="E58">
        <v>0</v>
      </c>
      <c r="F58">
        <v>0.33333333333333331</v>
      </c>
      <c r="G58">
        <v>0</v>
      </c>
    </row>
    <row r="59" spans="1:7" x14ac:dyDescent="0.15">
      <c r="A59" t="str">
        <f>HYPERLINK("./new_k5/query_cmdrels_weight_analyze/0.6_0.3_0.1/au_210680.xlsx","au_210680")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HYPERLINK("./new_k5/query_cmdrels_weight_analyze/0.6_0.3_0.1/au_214246.xlsx","au_214246")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HYPERLINK("./new_k5/query_cmdrels_weight_analyze/0.6_0.3_0.1/au_214643.xlsx","au_214643")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HYPERLINK("./new_k5/query_cmdrels_weight_analyze/0.6_0.3_0.1/au_2194.xlsx","au_2194")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HYPERLINK("./new_k5/query_cmdrels_weight_analyze/0.6_0.3_0.1/au_221962.xlsx","au_221962")</f>
        <v>au_221962</v>
      </c>
      <c r="B63">
        <v>0</v>
      </c>
      <c r="C63">
        <v>0</v>
      </c>
      <c r="D63">
        <v>5.5555555555555552E-2</v>
      </c>
      <c r="E63">
        <v>5.5555555555555552E-2</v>
      </c>
      <c r="F63">
        <v>0.1388888888888889</v>
      </c>
      <c r="G63">
        <v>0.23888888888888879</v>
      </c>
    </row>
    <row r="64" spans="1:7" x14ac:dyDescent="0.15">
      <c r="A64" t="str">
        <f>HYPERLINK("./new_k5/query_cmdrels_weight_analyze/0.6_0.3_0.1/au_22608.xlsx","au_22608")</f>
        <v>au_22608</v>
      </c>
      <c r="B64">
        <v>0.33333333333333331</v>
      </c>
      <c r="C64">
        <v>0</v>
      </c>
      <c r="D64">
        <v>0.33333333333333331</v>
      </c>
      <c r="E64">
        <v>0.16666666666666671</v>
      </c>
      <c r="F64">
        <v>0.33333333333333331</v>
      </c>
      <c r="G64">
        <v>0.33333333333333331</v>
      </c>
    </row>
    <row r="65" spans="1:7" x14ac:dyDescent="0.15">
      <c r="A65" t="str">
        <f>HYPERLINK("./new_k5/query_cmdrels_weight_analyze/0.6_0.3_0.1/au_230698.xlsx","au_230698")</f>
        <v>au_230698</v>
      </c>
      <c r="B65">
        <v>0.125</v>
      </c>
      <c r="C65">
        <v>0.125</v>
      </c>
      <c r="D65">
        <v>0.25</v>
      </c>
      <c r="E65">
        <v>0.20833333333333329</v>
      </c>
      <c r="F65">
        <v>0.32500000000000001</v>
      </c>
      <c r="G65">
        <v>0.28333333333333333</v>
      </c>
    </row>
    <row r="66" spans="1:7" x14ac:dyDescent="0.15">
      <c r="A66" t="str">
        <f>HYPERLINK("./new_k5/query_cmdrels_weight_analyze/0.6_0.3_0.1/au_232442.xlsx","au_232442")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HYPERLINK("./new_k5/query_cmdrels_weight_analyze/0.6_0.3_0.1/au_233378.xlsx","au_233378")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HYPERLINK("./new_k5/query_cmdrels_weight_analyze/0.6_0.3_0.1/au_24027.xlsx","au_24027")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HYPERLINK("./new_k5/query_cmdrels_weight_analyze/0.6_0.3_0.1/au_246647.xlsx","au_246647")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HYPERLINK("./new_k5/query_cmdrels_weight_analyze/0.6_0.3_0.1/au_254424.xlsx","au_254424")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HYPERLINK("./new_k5/query_cmdrels_weight_analyze/0.6_0.3_0.1/au_255890.xlsx","au_255890")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HYPERLINK("./new_k5/query_cmdrels_weight_analyze/0.6_0.3_0.1/au_257248.xlsx","au_257248")</f>
        <v>au_257248</v>
      </c>
      <c r="B72">
        <v>0</v>
      </c>
      <c r="C72">
        <v>0</v>
      </c>
      <c r="D72">
        <v>0.16666666666666671</v>
      </c>
      <c r="E72">
        <v>7.1428571428571425E-2</v>
      </c>
      <c r="F72">
        <v>0.25238095238095237</v>
      </c>
      <c r="G72">
        <v>0.14285714285714279</v>
      </c>
    </row>
    <row r="73" spans="1:7" x14ac:dyDescent="0.15">
      <c r="A73" t="str">
        <f>HYPERLINK("./new_k5/query_cmdrels_weight_analyze/0.6_0.3_0.1/au_259354.xlsx","au_259354")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0.42857142857142849</v>
      </c>
    </row>
    <row r="74" spans="1:7" x14ac:dyDescent="0.15">
      <c r="A74" t="str">
        <f>HYPERLINK("./new_k5/query_cmdrels_weight_analyze/0.6_0.3_0.1/au_263378.xlsx","au_263378")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0.47499999999999998</v>
      </c>
    </row>
    <row r="75" spans="1:7" x14ac:dyDescent="0.15">
      <c r="A75" t="str">
        <f>HYPERLINK("./new_k5/query_cmdrels_weight_analyze/0.6_0.3_0.1/au_264215.xlsx","au_264215")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HYPERLINK("./new_k5/query_cmdrels_weight_analyze/0.6_0.3_0.1/au_265176.xlsx","au_265176")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HYPERLINK("./new_k5/query_cmdrels_weight_analyze/0.6_0.3_0.1/au_275704.xlsx","au_275704")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HYPERLINK("./new_k5/query_cmdrels_weight_analyze/0.6_0.3_0.1/au_276669.xlsx","au_276669")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HYPERLINK("./new_k5/query_cmdrels_weight_analyze/0.6_0.3_0.1/au_277565.xlsx","au_277565")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HYPERLINK("./new_k5/query_cmdrels_weight_analyze/0.6_0.3_0.1/au_278403.xlsx","au_278403")</f>
        <v>au_278403</v>
      </c>
      <c r="B80">
        <v>0</v>
      </c>
      <c r="C80">
        <v>0.25</v>
      </c>
      <c r="D80">
        <v>8.3333333333333329E-2</v>
      </c>
      <c r="E80">
        <v>0.25</v>
      </c>
      <c r="F80">
        <v>0.20833333333333329</v>
      </c>
      <c r="G80">
        <v>0.375</v>
      </c>
    </row>
    <row r="81" spans="1:7" x14ac:dyDescent="0.15">
      <c r="A81" t="str">
        <f>HYPERLINK("./new_k5/query_cmdrels_weight_analyze/0.6_0.3_0.1/au_28039.xlsx","au_28039")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HYPERLINK("./new_k5/query_cmdrels_weight_analyze/0.6_0.3_0.1/au_281509.xlsx","au_281509")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HYPERLINK("./new_k5/query_cmdrels_weight_analyze/0.6_0.3_0.1/au_282806.xlsx","au_282806")</f>
        <v>au_282806</v>
      </c>
      <c r="B83">
        <v>0</v>
      </c>
      <c r="C83">
        <v>0.33333333333333331</v>
      </c>
      <c r="D83">
        <v>0.38888888888888878</v>
      </c>
      <c r="E83">
        <v>0.55555555555555547</v>
      </c>
      <c r="F83">
        <v>0.38888888888888878</v>
      </c>
      <c r="G83">
        <v>0.75555555555555554</v>
      </c>
    </row>
    <row r="84" spans="1:7" x14ac:dyDescent="0.15">
      <c r="A84" t="str">
        <f>HYPERLINK("./new_k5/query_cmdrels_weight_analyze/0.6_0.3_0.1/au_283559.xlsx","au_283559")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HYPERLINK("./new_k5/query_cmdrels_weight_analyze/0.6_0.3_0.1/au_285539.xlsx","au_285539")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HYPERLINK("./new_k5/query_cmdrels_weight_analyze/0.6_0.3_0.1/au_287532.xlsx","au_287532")</f>
        <v>au_287532</v>
      </c>
      <c r="B86">
        <v>0</v>
      </c>
      <c r="C86">
        <v>0</v>
      </c>
      <c r="D86">
        <v>0</v>
      </c>
      <c r="E86">
        <v>8.3333333333333329E-2</v>
      </c>
      <c r="F86">
        <v>0</v>
      </c>
      <c r="G86">
        <v>8.3333333333333329E-2</v>
      </c>
    </row>
    <row r="87" spans="1:7" x14ac:dyDescent="0.15">
      <c r="A87" t="str">
        <f>HYPERLINK("./new_k5/query_cmdrels_weight_analyze/0.6_0.3_0.1/au_294257.xlsx","au_294257")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HYPERLINK("./new_k5/query_cmdrels_weight_analyze/0.6_0.3_0.1/au_296155.xlsx","au_296155")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HYPERLINK("./new_k5/query_cmdrels_weight_analyze/0.6_0.3_0.1/au_299975.xlsx","au_299975")</f>
        <v>au_299975</v>
      </c>
      <c r="B89">
        <v>0.25</v>
      </c>
      <c r="C89">
        <v>0</v>
      </c>
      <c r="D89">
        <v>0.5</v>
      </c>
      <c r="E89">
        <v>0.125</v>
      </c>
      <c r="F89">
        <v>0.6875</v>
      </c>
      <c r="G89">
        <v>0.25</v>
      </c>
    </row>
    <row r="90" spans="1:7" x14ac:dyDescent="0.15">
      <c r="A90" t="str">
        <f>HYPERLINK("./new_k5/query_cmdrels_weight_analyze/0.6_0.3_0.1/au_301096.xlsx","au_301096")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HYPERLINK("./new_k5/query_cmdrels_weight_analyze/0.6_0.3_0.1/au_303593.xlsx","au_303593")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HYPERLINK("./new_k5/query_cmdrels_weight_analyze/0.6_0.3_0.1/au_303849.xlsx","au_303849")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HYPERLINK("./new_k5/query_cmdrels_weight_analyze/0.6_0.3_0.1/au_307541.xlsx","au_307541")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HYPERLINK("./new_k5/query_cmdrels_weight_analyze/0.6_0.3_0.1/au_307688.xlsx","au_307688")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HYPERLINK("./new_k5/query_cmdrels_weight_analyze/0.6_0.3_0.1/au_309047.xlsx","au_309047")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HYPERLINK("./new_k5/query_cmdrels_weight_analyze/0.6_0.3_0.1/au_311558.xlsx","au_311558")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0.41666666666666657</v>
      </c>
    </row>
    <row r="97" spans="1:7" x14ac:dyDescent="0.15">
      <c r="A97" t="str">
        <f>HYPERLINK("./new_k5/query_cmdrels_weight_analyze/0.6_0.3_0.1/au_318973.xlsx","au_318973")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HYPERLINK("./new_k5/query_cmdrels_weight_analyze/0.6_0.3_0.1/au_3205.xlsx","au_3205")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HYPERLINK("./new_k5/query_cmdrels_weight_analyze/0.6_0.3_0.1/au_323131.xlsx","au_323131")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HYPERLINK("./new_k5/query_cmdrels_weight_analyze/0.6_0.3_0.1/au_323392.xlsx","au_323392")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HYPERLINK("./new_k5/query_cmdrels_weight_analyze/0.6_0.3_0.1/au_325368.xlsx","au_325368")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HYPERLINK("./new_k5/query_cmdrels_weight_analyze/0.6_0.3_0.1/au_328162.xlsx","au_328162")</f>
        <v>au_328162</v>
      </c>
      <c r="B102">
        <v>0.33333333333333331</v>
      </c>
      <c r="C102">
        <v>0.33333333333333331</v>
      </c>
      <c r="D102">
        <v>1</v>
      </c>
      <c r="E102">
        <v>0.33333333333333331</v>
      </c>
      <c r="F102">
        <v>1</v>
      </c>
      <c r="G102">
        <v>0.5</v>
      </c>
    </row>
    <row r="103" spans="1:7" x14ac:dyDescent="0.15">
      <c r="A103" t="str">
        <f>HYPERLINK("./new_k5/query_cmdrels_weight_analyze/0.6_0.3_0.1/au_330148.xlsx","au_330148")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HYPERLINK("./new_k5/query_cmdrels_weight_analyze/0.6_0.3_0.1/au_332315.xlsx","au_332315")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HYPERLINK("./new_k5/query_cmdrels_weight_analyze/0.6_0.3_0.1/au_334081.xlsx","au_334081")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HYPERLINK("./new_k5/query_cmdrels_weight_analyze/0.6_0.3_0.1/au_34077.xlsx","au_34077")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0.33333333333333331</v>
      </c>
      <c r="F106">
        <v>0.33333333333333331</v>
      </c>
      <c r="G106">
        <v>0.59166666666666667</v>
      </c>
    </row>
    <row r="107" spans="1:7" x14ac:dyDescent="0.15">
      <c r="A107" t="str">
        <f>HYPERLINK("./new_k5/query_cmdrels_weight_analyze/0.6_0.3_0.1/au_341428.xlsx","au_341428")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HYPERLINK("./new_k5/query_cmdrels_weight_analyze/0.6_0.3_0.1/au_341584.xlsx","au_341584")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HYPERLINK("./new_k5/query_cmdrels_weight_analyze/0.6_0.3_0.1/au_346864.xlsx","au_346864")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0.14285714285714279</v>
      </c>
      <c r="F109">
        <v>0.23809523809523811</v>
      </c>
      <c r="G109">
        <v>0.2142857142857143</v>
      </c>
    </row>
    <row r="110" spans="1:7" x14ac:dyDescent="0.15">
      <c r="A110" t="str">
        <f>HYPERLINK("./new_k5/query_cmdrels_weight_analyze/0.6_0.3_0.1/au_351765.xlsx","au_351765")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0.5</v>
      </c>
    </row>
    <row r="111" spans="1:7" x14ac:dyDescent="0.15">
      <c r="A111" t="str">
        <f>HYPERLINK("./new_k5/query_cmdrels_weight_analyze/0.6_0.3_0.1/au_35922.xlsx","au_35922")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HYPERLINK("./new_k5/query_cmdrels_weight_analyze/0.6_0.3_0.1/au_359856.xlsx","au_359856")</f>
        <v>au_359856</v>
      </c>
      <c r="B112">
        <v>0.25</v>
      </c>
      <c r="C112">
        <v>0.25</v>
      </c>
      <c r="D112">
        <v>0.75</v>
      </c>
      <c r="E112">
        <v>0.5</v>
      </c>
      <c r="F112">
        <v>0.95</v>
      </c>
      <c r="G112">
        <v>0.5</v>
      </c>
    </row>
    <row r="113" spans="1:7" x14ac:dyDescent="0.15">
      <c r="A113" t="str">
        <f>HYPERLINK("./new_k5/query_cmdrels_weight_analyze/0.6_0.3_0.1/au_360423.xlsx","au_360423")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HYPERLINK("./new_k5/query_cmdrels_weight_analyze/0.6_0.3_0.1/au_36287.xlsx","au_36287")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HYPERLINK("./new_k5/query_cmdrels_weight_analyze/0.6_0.3_0.1/au_366742.xlsx","au_366742")</f>
        <v>au_366742</v>
      </c>
      <c r="B115">
        <v>0</v>
      </c>
      <c r="C115">
        <v>0</v>
      </c>
      <c r="D115">
        <v>0</v>
      </c>
      <c r="E115">
        <v>0.125</v>
      </c>
      <c r="F115">
        <v>0</v>
      </c>
      <c r="G115">
        <v>0.25</v>
      </c>
    </row>
    <row r="116" spans="1:7" x14ac:dyDescent="0.15">
      <c r="A116" t="str">
        <f>HYPERLINK("./new_k5/query_cmdrels_weight_analyze/0.6_0.3_0.1/au_377937.xlsx","au_377937")</f>
        <v>au_377937</v>
      </c>
      <c r="B116">
        <v>0.25</v>
      </c>
      <c r="C116">
        <v>0.25</v>
      </c>
      <c r="D116">
        <v>0.5</v>
      </c>
      <c r="E116">
        <v>0.75</v>
      </c>
      <c r="F116">
        <v>0.5</v>
      </c>
      <c r="G116">
        <v>0.75</v>
      </c>
    </row>
    <row r="117" spans="1:7" x14ac:dyDescent="0.15">
      <c r="A117" t="str">
        <f>HYPERLINK("./new_k5/query_cmdrels_weight_analyze/0.6_0.3_0.1/au_383997.xlsx","au_383997")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0.2857142857142857</v>
      </c>
    </row>
    <row r="118" spans="1:7" x14ac:dyDescent="0.15">
      <c r="A118" t="str">
        <f>HYPERLINK("./new_k5/query_cmdrels_weight_analyze/0.6_0.3_0.1/au_3883.xlsx","au_3883")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0.35</v>
      </c>
    </row>
    <row r="119" spans="1:7" x14ac:dyDescent="0.15">
      <c r="A119" t="str">
        <f>HYPERLINK("./new_k5/query_cmdrels_weight_analyze/0.6_0.3_0.1/au_396883.xlsx","au_396883")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HYPERLINK("./new_k5/query_cmdrels_weight_analyze/0.6_0.3_0.1/au_39760.xlsx","au_39760")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HYPERLINK("./new_k5/query_cmdrels_weight_analyze/0.6_0.3_0.1/au_398818.xlsx","au_398818")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HYPERLINK("./new_k5/query_cmdrels_weight_analyze/0.6_0.3_0.1/au_400807.xlsx","au_400807")</f>
        <v>au_400807</v>
      </c>
      <c r="B122">
        <v>0</v>
      </c>
      <c r="C122">
        <v>0.33333333333333331</v>
      </c>
      <c r="D122">
        <v>0.16666666666666671</v>
      </c>
      <c r="E122">
        <v>0.66666666666666663</v>
      </c>
      <c r="F122">
        <v>0.16666666666666671</v>
      </c>
      <c r="G122">
        <v>0.8666666666666667</v>
      </c>
    </row>
    <row r="123" spans="1:7" x14ac:dyDescent="0.15">
      <c r="A123" t="str">
        <f>HYPERLINK("./new_k5/query_cmdrels_weight_analyze/0.6_0.3_0.1/au_408611.xlsx","au_408611")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HYPERLINK("./new_k5/query_cmdrels_weight_analyze/0.6_0.3_0.1/au_414737.xlsx","au_414737")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HYPERLINK("./new_k5/query_cmdrels_weight_analyze/0.6_0.3_0.1/au_420722.xlsx","au_420722")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0.55555555555555547</v>
      </c>
      <c r="F125">
        <v>0.66666666666666663</v>
      </c>
      <c r="G125">
        <v>0.55555555555555547</v>
      </c>
    </row>
    <row r="126" spans="1:7" x14ac:dyDescent="0.15">
      <c r="A126" t="str">
        <f>HYPERLINK("./new_k5/query_cmdrels_weight_analyze/0.6_0.3_0.1/au_423942.xlsx","au_423942")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HYPERLINK("./new_k5/query_cmdrels_weight_analyze/0.6_0.3_0.1/au_430382.xlsx","au_430382")</f>
        <v>au_430382</v>
      </c>
      <c r="B127">
        <v>0</v>
      </c>
      <c r="C127">
        <v>0.25</v>
      </c>
      <c r="D127">
        <v>0.29166666666666657</v>
      </c>
      <c r="E127">
        <v>0.41666666666666657</v>
      </c>
      <c r="F127">
        <v>0.29166666666666657</v>
      </c>
      <c r="G127">
        <v>0.41666666666666657</v>
      </c>
    </row>
    <row r="128" spans="1:7" x14ac:dyDescent="0.15">
      <c r="A128" t="str">
        <f>HYPERLINK("./new_k5/query_cmdrels_weight_analyze/0.6_0.3_0.1/au_432836.xlsx","au_432836")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HYPERLINK("./new_k5/query_cmdrels_weight_analyze/0.6_0.3_0.1/au_440326.xlsx","au_440326")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HYPERLINK("./new_k5/query_cmdrels_weight_analyze/0.6_0.3_0.1/au_442914.xlsx","au_442914")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HYPERLINK("./new_k5/query_cmdrels_weight_analyze/0.6_0.3_0.1/au_443227.xlsx","au_443227")</f>
        <v>au_443227</v>
      </c>
      <c r="B131">
        <v>0.5</v>
      </c>
      <c r="C131">
        <v>0</v>
      </c>
      <c r="D131">
        <v>0.5</v>
      </c>
      <c r="E131">
        <v>0</v>
      </c>
      <c r="F131">
        <v>0.5</v>
      </c>
      <c r="G131">
        <v>0.1</v>
      </c>
    </row>
    <row r="132" spans="1:7" x14ac:dyDescent="0.15">
      <c r="A132" t="str">
        <f>HYPERLINK("./new_k5/query_cmdrels_weight_analyze/0.6_0.3_0.1/au_44534.xlsx","au_44534")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HYPERLINK("./new_k5/query_cmdrels_weight_analyze/0.6_0.3_0.1/au_451805.xlsx","au_451805")</f>
        <v>au_451805</v>
      </c>
      <c r="B133">
        <v>0.33333333333333331</v>
      </c>
      <c r="C133">
        <v>0</v>
      </c>
      <c r="D133">
        <v>0.33333333333333331</v>
      </c>
      <c r="E133">
        <v>0.1111111111111111</v>
      </c>
      <c r="F133">
        <v>0.33333333333333331</v>
      </c>
      <c r="G133">
        <v>0.1111111111111111</v>
      </c>
    </row>
    <row r="134" spans="1:7" x14ac:dyDescent="0.15">
      <c r="A134" t="str">
        <f>HYPERLINK("./new_k5/query_cmdrels_weight_analyze/0.6_0.3_0.1/au_464264.xlsx","au_464264")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0.1466666666666667</v>
      </c>
    </row>
    <row r="135" spans="1:7" x14ac:dyDescent="0.15">
      <c r="A135" t="str">
        <f>HYPERLINK("./new_k5/query_cmdrels_weight_analyze/0.6_0.3_0.1/au_468808.xlsx","au_468808")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HYPERLINK("./new_k5/query_cmdrels_weight_analyze/0.6_0.3_0.1/au_469143.xlsx","au_469143")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HYPERLINK("./new_k5/query_cmdrels_weight_analyze/0.6_0.3_0.1/au_470237.xlsx","au_470237")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HYPERLINK("./new_k5/query_cmdrels_weight_analyze/0.6_0.3_0.1/au_473037.xlsx","au_473037")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0.1</v>
      </c>
    </row>
    <row r="139" spans="1:7" x14ac:dyDescent="0.15">
      <c r="A139" t="str">
        <f>HYPERLINK("./new_k5/query_cmdrels_weight_analyze/0.6_0.3_0.1/au_48362.xlsx","au_48362")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HYPERLINK("./new_k5/query_cmdrels_weight_analyze/0.6_0.3_0.1/au_488435.xlsx","au_488435")</f>
        <v>au_488435</v>
      </c>
      <c r="B140">
        <v>0</v>
      </c>
      <c r="C140">
        <v>0</v>
      </c>
      <c r="D140">
        <v>0.125</v>
      </c>
      <c r="E140">
        <v>8.3333333333333329E-2</v>
      </c>
      <c r="F140">
        <v>0.25</v>
      </c>
      <c r="G140">
        <v>8.3333333333333329E-2</v>
      </c>
    </row>
    <row r="141" spans="1:7" x14ac:dyDescent="0.15">
      <c r="A141" t="str">
        <f>HYPERLINK("./new_k5/query_cmdrels_weight_analyze/0.6_0.3_0.1/au_493826.xlsx","au_493826")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0.23809523809523811</v>
      </c>
      <c r="F141">
        <v>0.14285714285714279</v>
      </c>
      <c r="G141">
        <v>0.23809523809523811</v>
      </c>
    </row>
    <row r="142" spans="1:7" x14ac:dyDescent="0.15">
      <c r="A142" t="str">
        <f>HYPERLINK("./new_k5/query_cmdrels_weight_analyze/0.6_0.3_0.1/au_502110.xlsx","au_502110")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HYPERLINK("./new_k5/query_cmdrels_weight_analyze/0.6_0.3_0.1/au_50344.xlsx","au_50344")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HYPERLINK("./new_k5/query_cmdrels_weight_analyze/0.6_0.3_0.1/au_511467.xlsx","au_511467")</f>
        <v>au_511467</v>
      </c>
      <c r="B144">
        <v>0</v>
      </c>
      <c r="C144">
        <v>0.16666666666666671</v>
      </c>
      <c r="D144">
        <v>0.19444444444444439</v>
      </c>
      <c r="E144">
        <v>0.27777777777777768</v>
      </c>
      <c r="F144">
        <v>0.19444444444444439</v>
      </c>
      <c r="G144">
        <v>0.40277777777777768</v>
      </c>
    </row>
    <row r="145" spans="1:7" x14ac:dyDescent="0.15">
      <c r="A145" t="str">
        <f>HYPERLINK("./new_k5/query_cmdrels_weight_analyze/0.6_0.3_0.1/au_513046.xlsx","au_513046")</f>
        <v>au_513046</v>
      </c>
      <c r="B145">
        <v>0.25</v>
      </c>
      <c r="C145">
        <v>0</v>
      </c>
      <c r="D145">
        <v>0.5</v>
      </c>
      <c r="E145">
        <v>8.3333333333333329E-2</v>
      </c>
      <c r="F145">
        <v>0.5</v>
      </c>
      <c r="G145">
        <v>0.35833333333333328</v>
      </c>
    </row>
    <row r="146" spans="1:7" x14ac:dyDescent="0.15">
      <c r="A146" t="str">
        <f>HYPERLINK("./new_k5/query_cmdrels_weight_analyze/0.6_0.3_0.1/au_517354.xlsx","au_517354")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0.34523809523809518</v>
      </c>
    </row>
    <row r="147" spans="1:7" x14ac:dyDescent="0.15">
      <c r="A147" t="str">
        <f>HYPERLINK("./new_k5/query_cmdrels_weight_analyze/0.6_0.3_0.1/au_522431.xlsx","au_522431")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0.3833333333333333</v>
      </c>
    </row>
    <row r="148" spans="1:7" x14ac:dyDescent="0.15">
      <c r="A148" t="str">
        <f>HYPERLINK("./new_k5/query_cmdrels_weight_analyze/0.6_0.3_0.1/au_52773.xlsx","au_52773")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0.05</v>
      </c>
    </row>
    <row r="149" spans="1:7" x14ac:dyDescent="0.15">
      <c r="A149" t="str">
        <f>HYPERLINK("./new_k5/query_cmdrels_weight_analyze/0.6_0.3_0.1/au_528411.xlsx","au_528411")</f>
        <v>au_528411</v>
      </c>
      <c r="B149">
        <v>0</v>
      </c>
      <c r="C149">
        <v>0</v>
      </c>
      <c r="D149">
        <v>0</v>
      </c>
      <c r="E149">
        <v>0.16666666666666671</v>
      </c>
      <c r="F149">
        <v>0</v>
      </c>
      <c r="G149">
        <v>0.16666666666666671</v>
      </c>
    </row>
    <row r="150" spans="1:7" x14ac:dyDescent="0.15">
      <c r="A150" t="str">
        <f>HYPERLINK("./new_k5/query_cmdrels_weight_analyze/0.6_0.3_0.1/au_53263.xlsx","au_53263")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0.95</v>
      </c>
    </row>
    <row r="151" spans="1:7" x14ac:dyDescent="0.15">
      <c r="A151" t="str">
        <f>HYPERLINK("./new_k5/query_cmdrels_weight_analyze/0.6_0.3_0.1/au_53444.xlsx","au_53444")</f>
        <v>au_53444</v>
      </c>
      <c r="B151">
        <v>0.5</v>
      </c>
      <c r="C151">
        <v>0</v>
      </c>
      <c r="D151">
        <v>0.5</v>
      </c>
      <c r="E151">
        <v>0.16666666666666671</v>
      </c>
      <c r="F151">
        <v>0.5</v>
      </c>
      <c r="G151">
        <v>0.16666666666666671</v>
      </c>
    </row>
    <row r="152" spans="1:7" x14ac:dyDescent="0.15">
      <c r="A152" t="str">
        <f>HYPERLINK("./new_k5/query_cmdrels_weight_analyze/0.6_0.3_0.1/au_538208.xlsx","au_538208")</f>
        <v>au_538208</v>
      </c>
      <c r="B152">
        <v>0.125</v>
      </c>
      <c r="C152">
        <v>0.125</v>
      </c>
      <c r="D152">
        <v>0.375</v>
      </c>
      <c r="E152">
        <v>0.25</v>
      </c>
      <c r="F152">
        <v>0.5</v>
      </c>
      <c r="G152">
        <v>0.44374999999999998</v>
      </c>
    </row>
    <row r="153" spans="1:7" x14ac:dyDescent="0.15">
      <c r="A153" t="str">
        <f>HYPERLINK("./new_k5/query_cmdrels_weight_analyze/0.6_0.3_0.1/au_53822.xlsx","au_53822")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HYPERLINK("./new_k5/query_cmdrels_weight_analyze/0.6_0.3_0.1/au_539243.xlsx","au_539243")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</v>
      </c>
    </row>
    <row r="155" spans="1:7" x14ac:dyDescent="0.15">
      <c r="A155" t="str">
        <f>HYPERLINK("./new_k5/query_cmdrels_weight_analyze/0.6_0.3_0.1/au_558280.xlsx","au_558280")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HYPERLINK("./new_k5/query_cmdrels_weight_analyze/0.6_0.3_0.1/au_558669.xlsx","au_558669")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HYPERLINK("./new_k5/query_cmdrels_weight_analyze/0.6_0.3_0.1/au_55868.xlsx","au_55868")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HYPERLINK("./new_k5/query_cmdrels_weight_analyze/0.6_0.3_0.1/au_561.xlsx","au_561")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0.65</v>
      </c>
    </row>
    <row r="159" spans="1:7" x14ac:dyDescent="0.15">
      <c r="A159" t="str">
        <f>HYPERLINK("./new_k5/query_cmdrels_weight_analyze/0.6_0.3_0.1/au_564567.xlsx","au_564567")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HYPERLINK("./new_k5/query_cmdrels_weight_analyze/0.6_0.3_0.1/au_57994.xlsx","au_57994")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0.5714285714285714</v>
      </c>
    </row>
    <row r="161" spans="1:7" x14ac:dyDescent="0.15">
      <c r="A161" t="str">
        <f>HYPERLINK("./new_k5/query_cmdrels_weight_analyze/0.6_0.3_0.1/au_589210.xlsx","au_589210")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0.35</v>
      </c>
    </row>
    <row r="162" spans="1:7" x14ac:dyDescent="0.15">
      <c r="A162" t="str">
        <f>HYPERLINK("./new_k5/query_cmdrels_weight_analyze/0.6_0.3_0.1/au_5911.xlsx","au_5911")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HYPERLINK("./new_k5/query_cmdrels_weight_analyze/0.6_0.3_0.1/au_59356.xlsx","au_59356")</f>
        <v>au_59356</v>
      </c>
      <c r="B163">
        <v>0</v>
      </c>
      <c r="C163">
        <v>0</v>
      </c>
      <c r="D163">
        <v>0.16666666666666671</v>
      </c>
      <c r="E163">
        <v>0</v>
      </c>
      <c r="F163">
        <v>0.16666666666666671</v>
      </c>
      <c r="G163">
        <v>0</v>
      </c>
    </row>
    <row r="164" spans="1:7" x14ac:dyDescent="0.15">
      <c r="A164" t="str">
        <f>HYPERLINK("./new_k5/query_cmdrels_weight_analyze/0.6_0.3_0.1/au_609850.xlsx","au_609850")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HYPERLINK("./new_k5/query_cmdrels_weight_analyze/0.6_0.3_0.1/au_61408.xlsx","au_61408")</f>
        <v>au_61408</v>
      </c>
      <c r="B165">
        <v>0</v>
      </c>
      <c r="C165">
        <v>0.33333333333333331</v>
      </c>
      <c r="D165">
        <v>0.16666666666666671</v>
      </c>
      <c r="E165">
        <v>0.33333333333333331</v>
      </c>
      <c r="F165">
        <v>0.16666666666666671</v>
      </c>
      <c r="G165">
        <v>0.33333333333333331</v>
      </c>
    </row>
    <row r="166" spans="1:7" x14ac:dyDescent="0.15">
      <c r="A166" t="str">
        <f>HYPERLINK("./new_k5/query_cmdrels_weight_analyze/0.6_0.3_0.1/au_617850.xlsx","au_617850")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HYPERLINK("./new_k5/query_cmdrels_weight_analyze/0.6_0.3_0.1/au_62073.xlsx","au_62073")</f>
        <v>au_62073</v>
      </c>
      <c r="B167">
        <v>0</v>
      </c>
      <c r="C167">
        <v>0.2</v>
      </c>
      <c r="D167">
        <v>0.23333333333333331</v>
      </c>
      <c r="E167">
        <v>0.4</v>
      </c>
      <c r="F167">
        <v>0.23333333333333331</v>
      </c>
      <c r="G167">
        <v>0.71</v>
      </c>
    </row>
    <row r="168" spans="1:7" x14ac:dyDescent="0.15">
      <c r="A168" t="str">
        <f>HYPERLINK("./new_k5/query_cmdrels_weight_analyze/0.6_0.3_0.1/au_620930.xlsx","au_620930")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0.45333333333333331</v>
      </c>
    </row>
    <row r="169" spans="1:7" x14ac:dyDescent="0.15">
      <c r="A169" t="str">
        <f>HYPERLINK("./new_k5/query_cmdrels_weight_analyze/0.6_0.3_0.1/au_62492.xlsx","au_62492")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HYPERLINK("./new_k5/query_cmdrels_weight_analyze/0.6_0.3_0.1/au_626078.xlsx","au_626078")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HYPERLINK("./new_k5/query_cmdrels_weight_analyze/0.6_0.3_0.1/au_636944.xlsx","au_636944")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HYPERLINK("./new_k5/query_cmdrels_weight_analyze/0.6_0.3_0.1/au_648603.xlsx","au_648603")</f>
        <v>au_648603</v>
      </c>
      <c r="B172">
        <v>0.25</v>
      </c>
      <c r="C172">
        <v>0.25</v>
      </c>
      <c r="D172">
        <v>0.25</v>
      </c>
      <c r="E172">
        <v>0.41666666666666657</v>
      </c>
      <c r="F172">
        <v>0.25</v>
      </c>
      <c r="G172">
        <v>0.41666666666666657</v>
      </c>
    </row>
    <row r="173" spans="1:7" x14ac:dyDescent="0.15">
      <c r="A173" t="str">
        <f>HYPERLINK("./new_k5/query_cmdrels_weight_analyze/0.6_0.3_0.1/au_65331.xlsx","au_65331")</f>
        <v>au_65331</v>
      </c>
      <c r="B173">
        <v>0</v>
      </c>
      <c r="C173">
        <v>0.16666666666666671</v>
      </c>
      <c r="D173">
        <v>8.3333333333333329E-2</v>
      </c>
      <c r="E173">
        <v>0.27777777777777768</v>
      </c>
      <c r="F173">
        <v>0.16666666666666671</v>
      </c>
      <c r="G173">
        <v>0.27777777777777768</v>
      </c>
    </row>
    <row r="174" spans="1:7" x14ac:dyDescent="0.15">
      <c r="A174" t="str">
        <f>HYPERLINK("./new_k5/query_cmdrels_weight_analyze/0.6_0.3_0.1/au_66000.xlsx","au_66000")</f>
        <v>au_66000</v>
      </c>
      <c r="B174">
        <v>0</v>
      </c>
      <c r="C174">
        <v>0.2</v>
      </c>
      <c r="D174">
        <v>0</v>
      </c>
      <c r="E174">
        <v>0.33333333333333331</v>
      </c>
      <c r="F174">
        <v>0</v>
      </c>
      <c r="G174">
        <v>0.64333333333333331</v>
      </c>
    </row>
    <row r="175" spans="1:7" x14ac:dyDescent="0.15">
      <c r="A175" t="str">
        <f>HYPERLINK("./new_k5/query_cmdrels_weight_analyze/0.6_0.3_0.1/au_660846.xlsx","au_660846")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HYPERLINK("./new_k5/query_cmdrels_weight_analyze/0.6_0.3_0.1/au_662935.xlsx","au_662935")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0.34375</v>
      </c>
    </row>
    <row r="177" spans="1:7" x14ac:dyDescent="0.15">
      <c r="A177" t="str">
        <f>HYPERLINK("./new_k5/query_cmdrels_weight_analyze/0.6_0.3_0.1/au_67663.xlsx","au_67663")</f>
        <v>au_67663</v>
      </c>
      <c r="B177">
        <v>0</v>
      </c>
      <c r="C177">
        <v>0.25</v>
      </c>
      <c r="D177">
        <v>0.29166666666666657</v>
      </c>
      <c r="E177">
        <v>0.75</v>
      </c>
      <c r="F177">
        <v>0.29166666666666657</v>
      </c>
      <c r="G177">
        <v>0.75</v>
      </c>
    </row>
    <row r="178" spans="1:7" x14ac:dyDescent="0.15">
      <c r="A178" t="str">
        <f>HYPERLINK("./new_k5/query_cmdrels_weight_analyze/0.6_0.3_0.1/au_68028.xlsx","au_68028")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0.23809523809523811</v>
      </c>
      <c r="F178">
        <v>0.37142857142857139</v>
      </c>
      <c r="G178">
        <v>0.32380952380952382</v>
      </c>
    </row>
    <row r="179" spans="1:7" x14ac:dyDescent="0.15">
      <c r="A179" t="str">
        <f>HYPERLINK("./new_k5/query_cmdrels_weight_analyze/0.6_0.3_0.1/au_681312.xlsx","au_681312")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0.23809523809523811</v>
      </c>
      <c r="F179">
        <v>0.42857142857142849</v>
      </c>
      <c r="G179">
        <v>0.34523809523809518</v>
      </c>
    </row>
    <row r="180" spans="1:7" x14ac:dyDescent="0.15">
      <c r="A180" t="str">
        <f>HYPERLINK("./new_k5/query_cmdrels_weight_analyze/0.6_0.3_0.1/au_686239.xlsx","au_686239")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HYPERLINK("./new_k5/query_cmdrels_weight_analyze/0.6_0.3_0.1/au_68809.xlsx","au_68809")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0.28333333333333333</v>
      </c>
    </row>
    <row r="182" spans="1:7" x14ac:dyDescent="0.15">
      <c r="A182" t="str">
        <f>HYPERLINK("./new_k5/query_cmdrels_weight_analyze/0.6_0.3_0.1/au_69556.xlsx","au_69556")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HYPERLINK("./new_k5/query_cmdrels_weight_analyze/0.6_0.3_0.1/au_698993.xlsx","au_698993")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HYPERLINK("./new_k5/query_cmdrels_weight_analyze/0.6_0.3_0.1/au_707881.xlsx","au_707881")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HYPERLINK("./new_k5/query_cmdrels_weight_analyze/0.6_0.3_0.1/au_709594.xlsx","au_709594")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HYPERLINK("./new_k5/query_cmdrels_weight_analyze/0.6_0.3_0.1/au_71309.xlsx","au_71309")</f>
        <v>au_71309</v>
      </c>
      <c r="B186">
        <v>0.125</v>
      </c>
      <c r="C186">
        <v>0</v>
      </c>
      <c r="D186">
        <v>0.20833333333333329</v>
      </c>
      <c r="E186">
        <v>0.14583333333333329</v>
      </c>
      <c r="F186">
        <v>0.20833333333333329</v>
      </c>
      <c r="G186">
        <v>0.23958333333333329</v>
      </c>
    </row>
    <row r="187" spans="1:7" x14ac:dyDescent="0.15">
      <c r="A187" t="str">
        <f>HYPERLINK("./new_k5/query_cmdrels_weight_analyze/0.6_0.3_0.1/au_7138.xlsx","au_7138")</f>
        <v>au_7138</v>
      </c>
      <c r="B187">
        <v>0.25</v>
      </c>
      <c r="C187">
        <v>0</v>
      </c>
      <c r="D187">
        <v>0.75</v>
      </c>
      <c r="E187">
        <v>0</v>
      </c>
      <c r="F187">
        <v>0.75</v>
      </c>
      <c r="G187">
        <v>6.25E-2</v>
      </c>
    </row>
    <row r="188" spans="1:7" x14ac:dyDescent="0.15">
      <c r="A188" t="str">
        <f>HYPERLINK("./new_k5/query_cmdrels_weight_analyze/0.6_0.3_0.1/au_72549.xlsx","au_72549")</f>
        <v>au_72549</v>
      </c>
      <c r="B188">
        <v>0</v>
      </c>
      <c r="C188">
        <v>0.25</v>
      </c>
      <c r="D188">
        <v>0</v>
      </c>
      <c r="E188">
        <v>0.25</v>
      </c>
      <c r="F188">
        <v>0</v>
      </c>
      <c r="G188">
        <v>0.25</v>
      </c>
    </row>
    <row r="189" spans="1:7" x14ac:dyDescent="0.15">
      <c r="A189" t="str">
        <f>HYPERLINK("./new_k5/query_cmdrels_weight_analyze/0.6_0.3_0.1/au_740805.xlsx","au_740805")</f>
        <v>au_740805</v>
      </c>
      <c r="B189">
        <v>0.25</v>
      </c>
      <c r="C189">
        <v>0</v>
      </c>
      <c r="D189">
        <v>0.41666666666666657</v>
      </c>
      <c r="E189">
        <v>8.3333333333333329E-2</v>
      </c>
      <c r="F189">
        <v>0.41666666666666657</v>
      </c>
      <c r="G189">
        <v>0.18333333333333329</v>
      </c>
    </row>
    <row r="190" spans="1:7" x14ac:dyDescent="0.15">
      <c r="A190" t="str">
        <f>HYPERLINK("./new_k5/query_cmdrels_weight_analyze/0.6_0.3_0.1/au_760796.xlsx","au_760796")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HYPERLINK("./new_k5/query_cmdrels_weight_analyze/0.6_0.3_0.1/au_762846.xlsx","au_762846")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0.45833333333333331</v>
      </c>
    </row>
    <row r="192" spans="1:7" x14ac:dyDescent="0.15">
      <c r="A192" t="str">
        <f>HYPERLINK("./new_k5/query_cmdrels_weight_analyze/0.6_0.3_0.1/au_767786.xlsx","au_767786")</f>
        <v>au_767786</v>
      </c>
      <c r="B192">
        <v>0.2</v>
      </c>
      <c r="C192">
        <v>0.2</v>
      </c>
      <c r="D192">
        <v>0.4</v>
      </c>
      <c r="E192">
        <v>0.4</v>
      </c>
      <c r="F192">
        <v>0.4</v>
      </c>
      <c r="G192">
        <v>0.71</v>
      </c>
    </row>
    <row r="193" spans="1:7" x14ac:dyDescent="0.15">
      <c r="A193" t="str">
        <f>HYPERLINK("./new_k5/query_cmdrels_weight_analyze/0.6_0.3_0.1/au_778906.xlsx","au_778906")</f>
        <v>au_778906</v>
      </c>
      <c r="B193">
        <v>0.2</v>
      </c>
      <c r="C193">
        <v>0.2</v>
      </c>
      <c r="D193">
        <v>0.33333333333333331</v>
      </c>
      <c r="E193">
        <v>0.6</v>
      </c>
      <c r="F193">
        <v>0.33333333333333331</v>
      </c>
      <c r="G193">
        <v>0.6</v>
      </c>
    </row>
    <row r="194" spans="1:7" x14ac:dyDescent="0.15">
      <c r="A194" t="str">
        <f>HYPERLINK("./new_k5/query_cmdrels_weight_analyze/0.6_0.3_0.1/au_818929.xlsx","au_818929")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0.42</v>
      </c>
    </row>
    <row r="195" spans="1:7" x14ac:dyDescent="0.15">
      <c r="A195" t="str">
        <f>HYPERLINK("./new_k5/query_cmdrels_weight_analyze/0.6_0.3_0.1/au_844876.xlsx","au_844876")</f>
        <v>au_844876</v>
      </c>
      <c r="B195">
        <v>0.5</v>
      </c>
      <c r="C195">
        <v>0.5</v>
      </c>
      <c r="D195">
        <v>0.5</v>
      </c>
      <c r="E195">
        <v>0.83333333333333326</v>
      </c>
      <c r="F195">
        <v>0.5</v>
      </c>
      <c r="G195">
        <v>0.83333333333333326</v>
      </c>
    </row>
    <row r="196" spans="1:7" x14ac:dyDescent="0.15">
      <c r="A196" t="str">
        <f>HYPERLINK("./new_k5/query_cmdrels_weight_analyze/0.6_0.3_0.1/au_85318.xlsx","au_85318")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0.4</v>
      </c>
    </row>
    <row r="197" spans="1:7" x14ac:dyDescent="0.15">
      <c r="A197" t="str">
        <f>HYPERLINK("./new_k5/query_cmdrels_weight_analyze/0.6_0.3_0.1/au_854332.xlsx","au_854332")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HYPERLINK("./new_k5/query_cmdrels_weight_analyze/0.6_0.3_0.1/au_854373.xlsx","au_854373")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HYPERLINK("./new_k5/query_cmdrels_weight_analyze/0.6_0.3_0.1/au_86843.xlsx","au_86843")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HYPERLINK("./new_k5/query_cmdrels_weight_analyze/0.6_0.3_0.1/au_88108.xlsx","au_88108")</f>
        <v>au_88108</v>
      </c>
      <c r="B200">
        <v>0</v>
      </c>
      <c r="C200">
        <v>0</v>
      </c>
      <c r="D200">
        <v>0.1</v>
      </c>
      <c r="E200">
        <v>0</v>
      </c>
      <c r="F200">
        <v>0.1</v>
      </c>
      <c r="G200">
        <v>0.05</v>
      </c>
    </row>
    <row r="201" spans="1:7" x14ac:dyDescent="0.15">
      <c r="A201" t="str">
        <f>HYPERLINK("./new_k5/query_cmdrels_weight_analyze/0.6_0.3_0.1/au_90214.xlsx","au_90214")</f>
        <v>au_90214</v>
      </c>
      <c r="B201">
        <v>0</v>
      </c>
      <c r="C201">
        <v>0</v>
      </c>
      <c r="D201">
        <v>0.16666666666666671</v>
      </c>
      <c r="E201">
        <v>0</v>
      </c>
      <c r="F201">
        <v>0.16666666666666671</v>
      </c>
      <c r="G201">
        <v>0.2166666666666667</v>
      </c>
    </row>
    <row r="202" spans="1:7" x14ac:dyDescent="0.15">
      <c r="A202" t="str">
        <f>HYPERLINK("./new_k5/query_cmdrels_weight_analyze/0.6_0.3_0.1/au_90339.xlsx","au_90339")</f>
        <v>au_90339</v>
      </c>
      <c r="B202">
        <v>0</v>
      </c>
      <c r="C202">
        <v>0</v>
      </c>
      <c r="D202">
        <v>4.7619047619047623E-2</v>
      </c>
      <c r="E202">
        <v>0.16666666666666671</v>
      </c>
      <c r="F202">
        <v>0.2047619047619047</v>
      </c>
      <c r="G202">
        <v>0.3880952380952381</v>
      </c>
    </row>
    <row r="203" spans="1:7" x14ac:dyDescent="0.15">
      <c r="A203" t="str">
        <f>HYPERLINK("./new_k5/query_cmdrels_weight_analyze/0.6_0.3_0.1/au_91286.xlsx","au_91286")</f>
        <v>au_91286</v>
      </c>
      <c r="B203">
        <v>0.5</v>
      </c>
      <c r="C203">
        <v>0</v>
      </c>
      <c r="D203">
        <v>0.5</v>
      </c>
      <c r="E203">
        <v>0.16666666666666671</v>
      </c>
      <c r="F203">
        <v>0.5</v>
      </c>
      <c r="G203">
        <v>0.16666666666666671</v>
      </c>
    </row>
    <row r="204" spans="1:7" x14ac:dyDescent="0.15">
      <c r="A204" t="str">
        <f>HYPERLINK("./new_k5/query_cmdrels_weight_analyze/0.6_0.3_0.1/au_9135.xlsx","au_9135")</f>
        <v>au_9135</v>
      </c>
      <c r="B204">
        <v>0.1</v>
      </c>
      <c r="C204">
        <v>0</v>
      </c>
      <c r="D204">
        <v>0.16666666666666671</v>
      </c>
      <c r="E204">
        <v>0.1166666666666667</v>
      </c>
      <c r="F204">
        <v>0.24166666666666661</v>
      </c>
      <c r="G204">
        <v>0.19166666666666671</v>
      </c>
    </row>
    <row r="205" spans="1:7" x14ac:dyDescent="0.15">
      <c r="A205" t="str">
        <f>HYPERLINK("./new_k5/query_cmdrels_weight_analyze/0.6_0.3_0.1/au_935569.xlsx","au_935569")</f>
        <v>au_935569</v>
      </c>
      <c r="B205">
        <v>0.14285714285714279</v>
      </c>
      <c r="C205">
        <v>0</v>
      </c>
      <c r="D205">
        <v>0.42857142857142849</v>
      </c>
      <c r="E205">
        <v>0.16666666666666671</v>
      </c>
      <c r="F205">
        <v>0.54285714285714282</v>
      </c>
      <c r="G205">
        <v>0.16666666666666671</v>
      </c>
    </row>
    <row r="206" spans="1:7" x14ac:dyDescent="0.15">
      <c r="A206" t="str">
        <f>HYPERLINK("./new_k5/query_cmdrels_weight_analyze/0.6_0.3_0.1/au_97936.xlsx","au_97936")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HYPERLINK("./new_k5/query_cmdrels_weight_analyze/0.6_0.3_0.1/so_10235778.xlsx","so_10235778")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HYPERLINK("./new_k5/query_cmdrels_weight_analyze/0.6_0.3_0.1/so_1045910.xlsx","so_1045910")</f>
        <v>so_1045910</v>
      </c>
      <c r="B208">
        <v>0.25</v>
      </c>
      <c r="C208">
        <v>0</v>
      </c>
      <c r="D208">
        <v>0.25</v>
      </c>
      <c r="E208">
        <v>0.125</v>
      </c>
      <c r="F208">
        <v>0.25</v>
      </c>
      <c r="G208">
        <v>0.25</v>
      </c>
    </row>
    <row r="209" spans="1:7" x14ac:dyDescent="0.15">
      <c r="A209" t="str">
        <f>HYPERLINK("./new_k5/query_cmdrels_weight_analyze/0.6_0.3_0.1/so_10557360.xlsx","so_10557360")</f>
        <v>so_10557360</v>
      </c>
      <c r="B209">
        <v>0</v>
      </c>
      <c r="C209">
        <v>0</v>
      </c>
      <c r="D209">
        <v>0</v>
      </c>
      <c r="E209">
        <v>6.6666666666666666E-2</v>
      </c>
      <c r="F209">
        <v>0</v>
      </c>
      <c r="G209">
        <v>6.6666666666666666E-2</v>
      </c>
    </row>
    <row r="210" spans="1:7" x14ac:dyDescent="0.15">
      <c r="A210" t="str">
        <f>HYPERLINK("./new_k5/query_cmdrels_weight_analyze/0.6_0.3_0.1/so_1058047.xlsx","so_1058047")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0.35</v>
      </c>
    </row>
    <row r="211" spans="1:7" x14ac:dyDescent="0.15">
      <c r="A211" t="str">
        <f>HYPERLINK("./new_k5/query_cmdrels_weight_analyze/0.6_0.3_0.1/so_10829402.xlsx","so_10829402")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HYPERLINK("./new_k5/query_cmdrels_weight_analyze/0.6_0.3_0.1/so_1088098.xlsx","so_1088098")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0.25</v>
      </c>
    </row>
    <row r="213" spans="1:7" x14ac:dyDescent="0.15">
      <c r="A213" t="str">
        <f>HYPERLINK("./new_k5/query_cmdrels_weight_analyze/0.6_0.3_0.1/so_10990949.xlsx","so_10990949")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0.5</v>
      </c>
    </row>
    <row r="214" spans="1:7" x14ac:dyDescent="0.15">
      <c r="A214" t="str">
        <f>HYPERLINK("./new_k5/query_cmdrels_weight_analyze/0.6_0.3_0.1/so_11211705.xlsx","so_11211705")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HYPERLINK("./new_k5/query_cmdrels_weight_analyze/0.6_0.3_0.1/so_112932.xlsx","so_112932")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HYPERLINK("./new_k5/query_cmdrels_weight_analyze/0.6_0.3_0.1/so_11392189.xlsx","so_11392189")</f>
        <v>so_11392189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0.16250000000000001</v>
      </c>
    </row>
    <row r="217" spans="1:7" x14ac:dyDescent="0.15">
      <c r="A217" t="str">
        <f>HYPERLINK("./new_k5/query_cmdrels_weight_analyze/0.6_0.3_0.1/so_1183183.xlsx","so_1183183")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</v>
      </c>
    </row>
    <row r="218" spans="1:7" x14ac:dyDescent="0.15">
      <c r="A218" t="str">
        <f>HYPERLINK("./new_k5/query_cmdrels_weight_analyze/0.6_0.3_0.1/so_1194882.xlsx","so_1194882")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HYPERLINK("./new_k5/query_cmdrels_weight_analyze/0.6_0.3_0.1/so_12120935.xlsx","so_12120935")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HYPERLINK("./new_k5/query_cmdrels_weight_analyze/0.6_0.3_0.1/so_12313384.xlsx","so_12313384")</f>
        <v>so_12313384</v>
      </c>
      <c r="B220">
        <v>0</v>
      </c>
      <c r="C220">
        <v>0.33333333333333331</v>
      </c>
      <c r="D220">
        <v>0.16666666666666671</v>
      </c>
      <c r="E220">
        <v>0.55555555555555547</v>
      </c>
      <c r="F220">
        <v>0.16666666666666671</v>
      </c>
      <c r="G220">
        <v>0.55555555555555547</v>
      </c>
    </row>
    <row r="221" spans="1:7" x14ac:dyDescent="0.15">
      <c r="A221" t="str">
        <f>HYPERLINK("./new_k5/query_cmdrels_weight_analyze/0.6_0.3_0.1/so_12392598.xlsx","so_12392598")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HYPERLINK("./new_k5/query_cmdrels_weight_analyze/0.6_0.3_0.1/so_1241801.xlsx","so_1241801")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HYPERLINK("./new_k5/query_cmdrels_weight_analyze/0.6_0.3_0.1/so_12522269.xlsx","so_12522269")</f>
        <v>so_12522269</v>
      </c>
      <c r="B223">
        <v>0.2</v>
      </c>
      <c r="C223">
        <v>0.2</v>
      </c>
      <c r="D223">
        <v>0.2</v>
      </c>
      <c r="E223">
        <v>0.2</v>
      </c>
      <c r="F223">
        <v>0.28000000000000003</v>
      </c>
      <c r="G223">
        <v>0.2</v>
      </c>
    </row>
    <row r="224" spans="1:7" x14ac:dyDescent="0.15">
      <c r="A224" t="str">
        <f>HYPERLINK("./new_k5/query_cmdrels_weight_analyze/0.6_0.3_0.1/so_1293907.xlsx","so_1293907")</f>
        <v>so_1293907</v>
      </c>
      <c r="B224">
        <v>0</v>
      </c>
      <c r="C224">
        <v>0.33333333333333331</v>
      </c>
      <c r="D224">
        <v>0</v>
      </c>
      <c r="E224">
        <v>0.66666666666666663</v>
      </c>
      <c r="F224">
        <v>8.3333333333333329E-2</v>
      </c>
      <c r="G224">
        <v>0.91666666666666663</v>
      </c>
    </row>
    <row r="225" spans="1:7" x14ac:dyDescent="0.15">
      <c r="A225" t="str">
        <f>HYPERLINK("./new_k5/query_cmdrels_weight_analyze/0.6_0.3_0.1/so_13428910.xlsx","so_13428910")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HYPERLINK("./new_k5/query_cmdrels_weight_analyze/0.6_0.3_0.1/so_135688.xlsx","so_135688")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HYPERLINK("./new_k5/query_cmdrels_weight_analyze/0.6_0.3_0.1/so_13778273.xlsx","so_13778273")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HYPERLINK("./new_k5/query_cmdrels_weight_analyze/0.6_0.3_0.1/so_1405611.xlsx","so_1405611")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0.16666666666666671</v>
      </c>
      <c r="F228">
        <v>0.33333333333333331</v>
      </c>
      <c r="G228">
        <v>0.16666666666666671</v>
      </c>
    </row>
    <row r="229" spans="1:7" x14ac:dyDescent="0.15">
      <c r="A229" t="str">
        <f>HYPERLINK("./new_k5/query_cmdrels_weight_analyze/0.6_0.3_0.1/so_14300794.xlsx","so_14300794")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HYPERLINK("./new_k5/query_cmdrels_weight_analyze/0.6_0.3_0.1/so_143791.xlsx","so_143791")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HYPERLINK("./new_k5/query_cmdrels_weight_analyze/0.6_0.3_0.1/so_14750650.xlsx","so_14750650")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6.25E-2</v>
      </c>
    </row>
    <row r="232" spans="1:7" x14ac:dyDescent="0.15">
      <c r="A232" t="str">
        <f>HYPERLINK("./new_k5/query_cmdrels_weight_analyze/0.6_0.3_0.1/so_14978411.xlsx","so_14978411")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HYPERLINK("./new_k5/query_cmdrels_weight_analyze/0.6_0.3_0.1/so_15236308.xlsx","so_15236308")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HYPERLINK("./new_k5/query_cmdrels_weight_analyze/0.6_0.3_0.1/so_15286947.xlsx","so_15286947")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HYPERLINK("./new_k5/query_cmdrels_weight_analyze/0.6_0.3_0.1/so_15402770.xlsx","so_15402770")</f>
        <v>so_15402770</v>
      </c>
      <c r="B235">
        <v>0</v>
      </c>
      <c r="C235">
        <v>0.16666666666666671</v>
      </c>
      <c r="D235">
        <v>0.19444444444444439</v>
      </c>
      <c r="E235">
        <v>0.5</v>
      </c>
      <c r="F235">
        <v>0.19444444444444439</v>
      </c>
      <c r="G235">
        <v>0.66666666666666663</v>
      </c>
    </row>
    <row r="236" spans="1:7" x14ac:dyDescent="0.15">
      <c r="A236" t="str">
        <f>HYPERLINK("./new_k5/query_cmdrels_weight_analyze/0.6_0.3_0.1/so_1570262.xlsx","so_1570262")</f>
        <v>so_1570262</v>
      </c>
      <c r="B236">
        <v>0</v>
      </c>
      <c r="C236">
        <v>0</v>
      </c>
      <c r="D236">
        <v>0</v>
      </c>
      <c r="E236">
        <v>6.6666666666666666E-2</v>
      </c>
      <c r="F236">
        <v>0</v>
      </c>
      <c r="G236">
        <v>0.16666666666666671</v>
      </c>
    </row>
    <row r="237" spans="1:7" x14ac:dyDescent="0.15">
      <c r="A237" t="str">
        <f>HYPERLINK("./new_k5/query_cmdrels_weight_analyze/0.6_0.3_0.1/so_1583219.xlsx","so_1583219")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HYPERLINK("./new_k5/query_cmdrels_weight_analyze/0.6_0.3_0.1/so_15872543.xlsx","so_15872543")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HYPERLINK("./new_k5/query_cmdrels_weight_analyze/0.6_0.3_0.1/so_16038087.xlsx","so_16038087")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0.5714285714285714</v>
      </c>
    </row>
    <row r="240" spans="1:7" x14ac:dyDescent="0.15">
      <c r="A240" t="str">
        <f>HYPERLINK("./new_k5/query_cmdrels_weight_analyze/0.6_0.3_0.1/so_16212656.xlsx","so_16212656")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HYPERLINK("./new_k5/query_cmdrels_weight_analyze/0.6_0.3_0.1/so_16575419.xlsx","so_16575419")</f>
        <v>so_16575419</v>
      </c>
      <c r="B241">
        <v>0.25</v>
      </c>
      <c r="C241">
        <v>0.25</v>
      </c>
      <c r="D241">
        <v>0.25</v>
      </c>
      <c r="E241">
        <v>0.5</v>
      </c>
      <c r="F241">
        <v>0.25</v>
      </c>
      <c r="G241">
        <v>0.6875</v>
      </c>
    </row>
    <row r="242" spans="1:7" x14ac:dyDescent="0.15">
      <c r="A242" t="str">
        <f>HYPERLINK("./new_k5/query_cmdrels_weight_analyze/0.6_0.3_0.1/so_17582768.xlsx","so_17582768")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8.3333333333333329E-2</v>
      </c>
    </row>
    <row r="243" spans="1:7" x14ac:dyDescent="0.15">
      <c r="A243" t="str">
        <f>HYPERLINK("./new_k5/query_cmdrels_weight_analyze/0.6_0.3_0.1/so_17607612.xlsx","so_17607612")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HYPERLINK("./new_k5/query_cmdrels_weight_analyze/0.6_0.3_0.1/so_17829785.xlsx","so_17829785")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HYPERLINK("./new_k5/query_cmdrels_weight_analyze/0.6_0.3_0.1/so_1839841.xlsx","so_1839841")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HYPERLINK("./new_k5/query_cmdrels_weight_analyze/0.6_0.3_0.1/so_18468716.xlsx","so_18468716")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0.46666666666666662</v>
      </c>
    </row>
    <row r="247" spans="1:7" x14ac:dyDescent="0.15">
      <c r="A247" t="str">
        <f>HYPERLINK("./new_k5/query_cmdrels_weight_analyze/0.6_0.3_0.1/so_19196105.xlsx","so_19196105")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HYPERLINK("./new_k5/query_cmdrels_weight_analyze/0.6_0.3_0.1/so_19482123.xlsx","so_19482123")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HYPERLINK("./new_k5/query_cmdrels_weight_analyze/0.6_0.3_0.1/so_1975849.xlsx","so_1975849")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HYPERLINK("./new_k5/query_cmdrels_weight_analyze/0.6_0.3_0.1/so_212528.xlsx","so_212528")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0.43333333333333329</v>
      </c>
    </row>
    <row r="251" spans="1:7" x14ac:dyDescent="0.15">
      <c r="A251" t="str">
        <f>HYPERLINK("./new_k5/query_cmdrels_weight_analyze/0.6_0.3_0.1/so_21620406.xlsx","so_21620406")</f>
        <v>so_21620406</v>
      </c>
      <c r="B251">
        <v>0</v>
      </c>
      <c r="C251">
        <v>0</v>
      </c>
      <c r="D251">
        <v>0.1111111111111111</v>
      </c>
      <c r="E251">
        <v>0.1111111111111111</v>
      </c>
      <c r="F251">
        <v>0.1111111111111111</v>
      </c>
      <c r="G251">
        <v>0.1111111111111111</v>
      </c>
    </row>
    <row r="252" spans="1:7" x14ac:dyDescent="0.15">
      <c r="A252" t="str">
        <f>HYPERLINK("./new_k5/query_cmdrels_weight_analyze/0.6_0.3_0.1/so_23509348.xlsx","so_23509348")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HYPERLINK("./new_k5/query_cmdrels_weight_analyze/0.6_0.3_0.1/so_24058544.xlsx","so_24058544")</f>
        <v>so_24058544</v>
      </c>
      <c r="B253">
        <v>0.2</v>
      </c>
      <c r="C253">
        <v>0.2</v>
      </c>
      <c r="D253">
        <v>0.2</v>
      </c>
      <c r="E253">
        <v>0.33333333333333331</v>
      </c>
      <c r="F253">
        <v>0.2</v>
      </c>
      <c r="G253">
        <v>0.33333333333333331</v>
      </c>
    </row>
    <row r="254" spans="1:7" x14ac:dyDescent="0.15">
      <c r="A254" t="str">
        <f>HYPERLINK("./new_k5/query_cmdrels_weight_analyze/0.6_0.3_0.1/so_24283097.xlsx","so_24283097")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HYPERLINK("./new_k5/query_cmdrels_weight_analyze/0.6_0.3_0.1/so_26256279.xlsx","so_26256279")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HYPERLINK("./new_k5/query_cmdrels_weight_analyze/0.6_0.3_0.1/so_26331651.xlsx","so_26331651")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HYPERLINK("./new_k5/query_cmdrels_weight_analyze/0.6_0.3_0.1/so_26988262.xlsx","so_26988262")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HYPERLINK("./new_k5/query_cmdrels_weight_analyze/0.6_0.3_0.1/so_27238411.xlsx","so_27238411")</f>
        <v>so_27238411</v>
      </c>
      <c r="B258">
        <v>0.2</v>
      </c>
      <c r="C258">
        <v>0.2</v>
      </c>
      <c r="D258">
        <v>0.6</v>
      </c>
      <c r="E258">
        <v>0.6</v>
      </c>
      <c r="F258">
        <v>0.6</v>
      </c>
      <c r="G258">
        <v>0.6</v>
      </c>
    </row>
    <row r="259" spans="1:7" x14ac:dyDescent="0.15">
      <c r="A259" t="str">
        <f>HYPERLINK("./new_k5/query_cmdrels_weight_analyze/0.6_0.3_0.1/so_27943059.xlsx","so_27943059")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0.33333333333333331</v>
      </c>
      <c r="F259">
        <v>0.16666666666666671</v>
      </c>
      <c r="G259">
        <v>0.5</v>
      </c>
    </row>
    <row r="260" spans="1:7" x14ac:dyDescent="0.15">
      <c r="A260" t="str">
        <f>HYPERLINK("./new_k5/query_cmdrels_weight_analyze/0.6_0.3_0.1/so_28869004.xlsx","so_28869004")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HYPERLINK("./new_k5/query_cmdrels_weight_analyze/0.6_0.3_0.1/so_2973624.xlsx","so_2973624")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0.66666666666666663</v>
      </c>
      <c r="F261">
        <v>0.66666666666666663</v>
      </c>
      <c r="G261">
        <v>0.66666666666666663</v>
      </c>
    </row>
    <row r="262" spans="1:7" x14ac:dyDescent="0.15">
      <c r="A262" t="str">
        <f>HYPERLINK("./new_k5/query_cmdrels_weight_analyze/0.6_0.3_0.1/so_30177455.xlsx","so_30177455")</f>
        <v>so_30177455</v>
      </c>
      <c r="B262">
        <v>0</v>
      </c>
      <c r="C262">
        <v>0</v>
      </c>
      <c r="D262">
        <v>0.16666666666666671</v>
      </c>
      <c r="E262">
        <v>0</v>
      </c>
      <c r="F262">
        <v>0.16666666666666671</v>
      </c>
      <c r="G262">
        <v>8.3333333333333329E-2</v>
      </c>
    </row>
    <row r="263" spans="1:7" x14ac:dyDescent="0.15">
      <c r="A263" t="str">
        <f>HYPERLINK("./new_k5/query_cmdrels_weight_analyze/0.6_0.3_0.1/so_30251889.xlsx","so_30251889")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0.6791666666666667</v>
      </c>
    </row>
    <row r="264" spans="1:7" x14ac:dyDescent="0.15">
      <c r="A264" t="str">
        <f>HYPERLINK("./new_k5/query_cmdrels_weight_analyze/0.6_0.3_0.1/so_305035.xlsx","so_305035")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HYPERLINK("./new_k5/query_cmdrels_weight_analyze/0.6_0.3_0.1/so_36249744.xlsx","so_36249744")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HYPERLINK("./new_k5/query_cmdrels_weight_analyze/0.6_0.3_0.1/so_3643848.xlsx","so_3643848")</f>
        <v>so_3643848</v>
      </c>
      <c r="B266">
        <v>0.5</v>
      </c>
      <c r="C266">
        <v>0.5</v>
      </c>
      <c r="D266">
        <v>1</v>
      </c>
      <c r="E266">
        <v>0.5</v>
      </c>
      <c r="F266">
        <v>1</v>
      </c>
      <c r="G266">
        <v>0.75</v>
      </c>
    </row>
    <row r="267" spans="1:7" x14ac:dyDescent="0.15">
      <c r="A267" t="str">
        <f>HYPERLINK("./new_k5/query_cmdrels_weight_analyze/0.6_0.3_0.1/so_3667329.xlsx","so_3667329")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HYPERLINK("./new_k5/query_cmdrels_weight_analyze/0.6_0.3_0.1/so_369758.xlsx","so_369758")</f>
        <v>so_369758</v>
      </c>
      <c r="B268">
        <v>0.2</v>
      </c>
      <c r="C268">
        <v>0.2</v>
      </c>
      <c r="D268">
        <v>0.4</v>
      </c>
      <c r="E268">
        <v>0.33333333333333331</v>
      </c>
      <c r="F268">
        <v>0.4</v>
      </c>
      <c r="G268">
        <v>0.48333333333333328</v>
      </c>
    </row>
    <row r="269" spans="1:7" x14ac:dyDescent="0.15">
      <c r="A269" t="str">
        <f>HYPERLINK("./new_k5/query_cmdrels_weight_analyze/0.6_0.3_0.1/so_3756323.xlsx","so_3756323")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0.75</v>
      </c>
    </row>
    <row r="270" spans="1:7" x14ac:dyDescent="0.15">
      <c r="A270" t="str">
        <f>HYPERLINK("./new_k5/query_cmdrels_weight_analyze/0.6_0.3_0.1/so_3767267.xlsx","so_3767267")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HYPERLINK("./new_k5/query_cmdrels_weight_analyze/0.6_0.3_0.1/so_3833578.xlsx","so_3833578")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HYPERLINK("./new_k5/query_cmdrels_weight_analyze/0.6_0.3_0.1/so_3891076.xlsx","so_3891076")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0.52500000000000002</v>
      </c>
    </row>
    <row r="273" spans="1:7" x14ac:dyDescent="0.15">
      <c r="A273" t="str">
        <f>HYPERLINK("./new_k5/query_cmdrels_weight_analyze/0.6_0.3_0.1/so_3963085.xlsx","so_3963085")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HYPERLINK("./new_k5/query_cmdrels_weight_analyze/0.6_0.3_0.1/so_4325216.xlsx","so_4325216")</f>
        <v>so_4325216</v>
      </c>
      <c r="B274">
        <v>0.5</v>
      </c>
      <c r="C274">
        <v>0.5</v>
      </c>
      <c r="D274">
        <v>0.5</v>
      </c>
      <c r="E274">
        <v>0.5</v>
      </c>
      <c r="F274">
        <v>0.5</v>
      </c>
      <c r="G274">
        <v>0.75</v>
      </c>
    </row>
    <row r="275" spans="1:7" x14ac:dyDescent="0.15">
      <c r="A275" t="str">
        <f>HYPERLINK("./new_k5/query_cmdrels_weight_analyze/0.6_0.3_0.1/so_448005.xlsx","so_448005")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HYPERLINK("./new_k5/query_cmdrels_weight_analyze/0.6_0.3_0.1/so_4921879.xlsx","so_4921879")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HYPERLINK("./new_k5/query_cmdrels_weight_analyze/0.6_0.3_0.1/so_4922943.xlsx","so_4922943")</f>
        <v>so_4922943</v>
      </c>
      <c r="B277">
        <v>0.2</v>
      </c>
      <c r="C277">
        <v>0.2</v>
      </c>
      <c r="D277">
        <v>0.33333333333333331</v>
      </c>
      <c r="E277">
        <v>0.2</v>
      </c>
      <c r="F277">
        <v>0.33333333333333331</v>
      </c>
      <c r="G277">
        <v>0.3</v>
      </c>
    </row>
    <row r="278" spans="1:7" x14ac:dyDescent="0.15">
      <c r="A278" t="str">
        <f>HYPERLINK("./new_k5/query_cmdrels_weight_analyze/0.6_0.3_0.1/so_5119946.xlsx","so_5119946")</f>
        <v>so_5119946</v>
      </c>
      <c r="B278">
        <v>0.5</v>
      </c>
      <c r="C278">
        <v>0</v>
      </c>
      <c r="D278">
        <v>0.5</v>
      </c>
      <c r="E278">
        <v>0</v>
      </c>
      <c r="F278">
        <v>0.5</v>
      </c>
      <c r="G278">
        <v>0</v>
      </c>
    </row>
    <row r="279" spans="1:7" x14ac:dyDescent="0.15">
      <c r="A279" t="str">
        <f>HYPERLINK("./new_k5/query_cmdrels_weight_analyze/0.6_0.3_0.1/so_5164985.xlsx","so_5164985")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HYPERLINK("./new_k5/query_cmdrels_weight_analyze/0.6_0.3_0.1/so_5306153.xlsx","so_5306153")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HYPERLINK("./new_k5/query_cmdrels_weight_analyze/0.6_0.3_0.1/so_5566310.xlsx","so_5566310")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HYPERLINK("./new_k5/query_cmdrels_weight_analyze/0.6_0.3_0.1/so_5927369.xlsx","so_5927369")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HYPERLINK("./new_k5/query_cmdrels_weight_analyze/0.6_0.3_0.1/so_5947742.xlsx","so_5947742")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HYPERLINK("./new_k5/query_cmdrels_weight_analyze/0.6_0.3_0.1/so_614795.xlsx","so_614795")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HYPERLINK("./new_k5/query_cmdrels_weight_analyze/0.6_0.3_0.1/so_6207573.xlsx","so_6207573")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0.2857142857142857</v>
      </c>
      <c r="F285">
        <v>0.37142857142857139</v>
      </c>
      <c r="G285">
        <v>0.39285714285714279</v>
      </c>
    </row>
    <row r="286" spans="1:7" x14ac:dyDescent="0.15">
      <c r="A286" t="str">
        <f>HYPERLINK("./new_k5/query_cmdrels_weight_analyze/0.6_0.3_0.1/so_6283167.xlsx","so_6283167")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HYPERLINK("./new_k5/query_cmdrels_weight_analyze/0.6_0.3_0.1/so_6329505.xlsx","so_6329505")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HYPERLINK("./new_k5/query_cmdrels_weight_analyze/0.6_0.3_0.1/so_6423532.xlsx","so_6423532")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HYPERLINK("./new_k5/query_cmdrels_weight_analyze/0.6_0.3_0.1/so_669438.xlsx","so_669438")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0.33333333333333331</v>
      </c>
    </row>
    <row r="290" spans="1:7" x14ac:dyDescent="0.15">
      <c r="A290" t="str">
        <f>HYPERLINK("./new_k5/query_cmdrels_weight_analyze/0.6_0.3_0.1/so_7052875.xlsx","so_7052875")</f>
        <v>so_7052875</v>
      </c>
      <c r="B290">
        <v>0.2</v>
      </c>
      <c r="C290">
        <v>0</v>
      </c>
      <c r="D290">
        <v>0.2</v>
      </c>
      <c r="E290">
        <v>0.1</v>
      </c>
      <c r="F290">
        <v>0.2</v>
      </c>
      <c r="G290">
        <v>0.18</v>
      </c>
    </row>
    <row r="291" spans="1:7" x14ac:dyDescent="0.15">
      <c r="A291" t="str">
        <f>HYPERLINK("./new_k5/query_cmdrels_weight_analyze/0.6_0.3_0.1/so_7221757.xlsx","so_7221757")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HYPERLINK("./new_k5/query_cmdrels_weight_analyze/0.6_0.3_0.1/so_750604.xlsx","so_750604")</f>
        <v>so_750604</v>
      </c>
      <c r="B292">
        <v>0</v>
      </c>
      <c r="C292">
        <v>0</v>
      </c>
      <c r="D292">
        <v>0.1111111111111111</v>
      </c>
      <c r="E292">
        <v>0.1111111111111111</v>
      </c>
      <c r="F292">
        <v>0.1111111111111111</v>
      </c>
      <c r="G292">
        <v>0.27777777777777768</v>
      </c>
    </row>
    <row r="293" spans="1:7" x14ac:dyDescent="0.15">
      <c r="A293" t="str">
        <f>HYPERLINK("./new_k5/query_cmdrels_weight_analyze/0.6_0.3_0.1/so_7575267.xlsx","so_7575267")</f>
        <v>so_7575267</v>
      </c>
      <c r="B293">
        <v>0</v>
      </c>
      <c r="C293">
        <v>0.25</v>
      </c>
      <c r="D293">
        <v>0</v>
      </c>
      <c r="E293">
        <v>0.75</v>
      </c>
      <c r="F293">
        <v>0</v>
      </c>
      <c r="G293">
        <v>0.75</v>
      </c>
    </row>
    <row r="294" spans="1:7" x14ac:dyDescent="0.15">
      <c r="A294" t="str">
        <f>HYPERLINK("./new_k5/query_cmdrels_weight_analyze/0.6_0.3_0.1/so_7698488.xlsx","so_7698488")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0.16250000000000001</v>
      </c>
    </row>
    <row r="295" spans="1:7" x14ac:dyDescent="0.15">
      <c r="A295" t="str">
        <f>HYPERLINK("./new_k5/query_cmdrels_weight_analyze/0.6_0.3_0.1/so_801095.xlsx","so_801095")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0.33333333333333331</v>
      </c>
      <c r="F295">
        <v>0.33333333333333331</v>
      </c>
      <c r="G295">
        <v>0.5</v>
      </c>
    </row>
    <row r="296" spans="1:7" x14ac:dyDescent="0.15">
      <c r="A296" t="str">
        <f>HYPERLINK("./new_k5/query_cmdrels_weight_analyze/0.6_0.3_0.1/so_8249705.xlsx","so_8249705")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HYPERLINK("./new_k5/query_cmdrels_weight_analyze/0.6_0.3_0.1/so_8423541.xlsx","so_8423541")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HYPERLINK("./new_k5/query_cmdrels_weight_analyze/0.6_0.3_0.1/so_8654051.xlsx","so_8654051")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HYPERLINK("./new_k5/query_cmdrels_weight_analyze/0.6_0.3_0.1/so_890262.xlsx","so_890262")</f>
        <v>so_890262</v>
      </c>
      <c r="B299">
        <v>0</v>
      </c>
      <c r="C299">
        <v>0</v>
      </c>
      <c r="D299">
        <v>0</v>
      </c>
      <c r="E299">
        <v>0.1111111111111111</v>
      </c>
      <c r="F299">
        <v>0</v>
      </c>
      <c r="G299">
        <v>0.27777777777777768</v>
      </c>
    </row>
    <row r="300" spans="1:7" x14ac:dyDescent="0.15">
      <c r="A300" t="str">
        <f>HYPERLINK("./new_k5/query_cmdrels_weight_analyze/0.6_0.3_0.1/so_893585.xlsx","so_893585")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HYPERLINK("./new_k5/query_cmdrels_weight_analyze/0.6_0.3_0.1/so_9223460.xlsx","so_9223460")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HYPERLINK("./new_k5/query_cmdrels_weight_analyze/0.6_0.3_0.1/so_9245638.xlsx","so_9245638")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HYPERLINK("./new_k5/query_cmdrels_weight_analyze/0.6_0.3_0.1/so_9304953.xlsx","so_9304953")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0.6</v>
      </c>
    </row>
    <row r="304" spans="1:7" x14ac:dyDescent="0.15">
      <c r="A304" t="str">
        <f>HYPERLINK("./new_k5/query_cmdrels_weight_analyze/0.6_0.3_0.1/so_9361816.xlsx","so_9361816")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HYPERLINK("./new_k5/query_cmdrels_weight_analyze/0.6_0.3_0.1/su_116617.xlsx","su_116617")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HYPERLINK("./new_k5/query_cmdrels_weight_analyze/0.6_0.3_0.1/su_120045.xlsx","su_120045")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HYPERLINK("./new_k5/query_cmdrels_weight_analyze/0.6_0.3_0.1/su_127863.xlsx","su_127863")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HYPERLINK("./new_k5/query_cmdrels_weight_analyze/0.6_0.3_0.1/su_135498.xlsx","su_135498")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HYPERLINK("./new_k5/query_cmdrels_weight_analyze/0.6_0.3_0.1/su_147027.xlsx","su_147027")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HYPERLINK("./new_k5/query_cmdrels_weight_analyze/0.6_0.3_0.1/su_151911.xlsx","su_151911")</f>
        <v>su_151911</v>
      </c>
      <c r="B310">
        <v>0</v>
      </c>
      <c r="C310">
        <v>0</v>
      </c>
      <c r="D310">
        <v>0</v>
      </c>
      <c r="E310">
        <v>8.3333333333333329E-2</v>
      </c>
      <c r="F310">
        <v>0</v>
      </c>
      <c r="G310">
        <v>8.3333333333333329E-2</v>
      </c>
    </row>
    <row r="311" spans="1:7" x14ac:dyDescent="0.15">
      <c r="A311" t="str">
        <f>HYPERLINK("./new_k5/query_cmdrels_weight_analyze/0.6_0.3_0.1/su_153415.xlsx","su_153415")</f>
        <v>su_153415</v>
      </c>
      <c r="B311">
        <v>0.5</v>
      </c>
      <c r="C311">
        <v>0</v>
      </c>
      <c r="D311">
        <v>0.5</v>
      </c>
      <c r="E311">
        <v>0.25</v>
      </c>
      <c r="F311">
        <v>0.5</v>
      </c>
      <c r="G311">
        <v>0.25</v>
      </c>
    </row>
    <row r="312" spans="1:7" x14ac:dyDescent="0.15">
      <c r="A312" t="str">
        <f>HYPERLINK("./new_k5/query_cmdrels_weight_analyze/0.6_0.3_0.1/su_156189.xlsx","su_156189")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0.27777777777777768</v>
      </c>
    </row>
    <row r="313" spans="1:7" x14ac:dyDescent="0.15">
      <c r="A313" t="str">
        <f>HYPERLINK("./new_k5/query_cmdrels_weight_analyze/0.6_0.3_0.1/su_161531.xlsx","su_161531")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HYPERLINK("./new_k5/query_cmdrels_weight_analyze/0.6_0.3_0.1/su_204209.xlsx","su_204209")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HYPERLINK("./new_k5/query_cmdrels_weight_analyze/0.6_0.3_0.1/su_214390.xlsx","su_214390")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HYPERLINK("./new_k5/query_cmdrels_weight_analyze/0.6_0.3_0.1/su_215483.xlsx","su_215483")</f>
        <v>su_215483</v>
      </c>
      <c r="B316">
        <v>0.5</v>
      </c>
      <c r="C316">
        <v>0.5</v>
      </c>
      <c r="D316">
        <v>1</v>
      </c>
      <c r="E316">
        <v>0.5</v>
      </c>
      <c r="F316">
        <v>1</v>
      </c>
      <c r="G316">
        <v>0.5</v>
      </c>
    </row>
    <row r="317" spans="1:7" x14ac:dyDescent="0.15">
      <c r="A317" t="str">
        <f>HYPERLINK("./new_k5/query_cmdrels_weight_analyze/0.6_0.3_0.1/su_215504.xlsx","su_215504")</f>
        <v>su_215504</v>
      </c>
      <c r="B317">
        <v>0</v>
      </c>
      <c r="C317">
        <v>0.25</v>
      </c>
      <c r="D317">
        <v>0.29166666666666657</v>
      </c>
      <c r="E317">
        <v>0.41666666666666657</v>
      </c>
      <c r="F317">
        <v>0.44166666666666671</v>
      </c>
      <c r="G317">
        <v>0.60416666666666663</v>
      </c>
    </row>
    <row r="318" spans="1:7" x14ac:dyDescent="0.15">
      <c r="A318" t="str">
        <f>HYPERLINK("./new_k5/query_cmdrels_weight_analyze/0.6_0.3_0.1/su_227385.xlsx","su_227385")</f>
        <v>su_227385</v>
      </c>
      <c r="B318">
        <v>0</v>
      </c>
      <c r="C318">
        <v>0</v>
      </c>
      <c r="D318">
        <v>0</v>
      </c>
      <c r="E318">
        <v>0.29166666666666657</v>
      </c>
      <c r="F318">
        <v>0</v>
      </c>
      <c r="G318">
        <v>0.6791666666666667</v>
      </c>
    </row>
    <row r="319" spans="1:7" x14ac:dyDescent="0.15">
      <c r="A319" t="str">
        <f>HYPERLINK("./new_k5/query_cmdrels_weight_analyze/0.6_0.3_0.1/su_273254.xlsx","su_273254")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HYPERLINK("./new_k5/query_cmdrels_weight_analyze/0.6_0.3_0.1/su_294161.xlsx","su_294161")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HYPERLINK("./new_k5/query_cmdrels_weight_analyze/0.6_0.3_0.1/su_302396.xlsx","su_302396")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HYPERLINK("./new_k5/query_cmdrels_weight_analyze/0.6_0.3_0.1/su_303981.xlsx","su_303981")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HYPERLINK("./new_k5/query_cmdrels_weight_analyze/0.6_0.3_0.1/su_305128.xlsx","su_305128")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HYPERLINK("./new_k5/query_cmdrels_weight_analyze/0.6_0.3_0.1/su_31512.xlsx","su_31512")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HYPERLINK("./new_k5/query_cmdrels_weight_analyze/0.6_0.3_0.1/su_380520.xlsx","su_380520")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0.1111111111111111</v>
      </c>
      <c r="F325">
        <v>0.33333333333333331</v>
      </c>
      <c r="G325">
        <v>0.27777777777777768</v>
      </c>
    </row>
    <row r="326" spans="1:7" x14ac:dyDescent="0.15">
      <c r="A326" t="str">
        <f>HYPERLINK("./new_k5/query_cmdrels_weight_analyze/0.6_0.3_0.1/su_38981.xlsx","su_38981")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HYPERLINK("./new_k5/query_cmdrels_weight_analyze/0.6_0.3_0.1/su_437330.xlsx","su_437330")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HYPERLINK("./new_k5/query_cmdrels_weight_analyze/0.6_0.3_0.1/su_441379.xlsx","su_441379")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HYPERLINK("./new_k5/query_cmdrels_weight_analyze/0.6_0.3_0.1/su_462788.xlsx","su_462788")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0.33333333333333331</v>
      </c>
      <c r="F329">
        <v>0.30555555555555558</v>
      </c>
      <c r="G329">
        <v>0.42222222222222222</v>
      </c>
    </row>
    <row r="330" spans="1:7" x14ac:dyDescent="0.15">
      <c r="A330" t="str">
        <f>HYPERLINK("./new_k5/query_cmdrels_weight_analyze/0.6_0.3_0.1/su_626606.xlsx","su_626606")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0.5</v>
      </c>
    </row>
    <row r="331" spans="1:7" x14ac:dyDescent="0.15">
      <c r="A331" t="str">
        <f>HYPERLINK("./new_k5/query_cmdrels_weight_analyze/0.6_0.3_0.1/su_634469.xlsx","su_634469")</f>
        <v>su_634469</v>
      </c>
      <c r="B331">
        <v>0</v>
      </c>
      <c r="C331">
        <v>0.16666666666666671</v>
      </c>
      <c r="D331">
        <v>0</v>
      </c>
      <c r="E331">
        <v>0.33333333333333331</v>
      </c>
      <c r="F331">
        <v>0</v>
      </c>
      <c r="G331">
        <v>0.43333333333333329</v>
      </c>
    </row>
    <row r="332" spans="1:7" x14ac:dyDescent="0.15">
      <c r="A332" t="str">
        <f>HYPERLINK("./new_k5/query_cmdrels_weight_analyze/0.6_0.3_0.1/su_638616.xlsx","su_638616")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HYPERLINK("./new_k5/query_cmdrels_weight_analyze/0.6_0.3_0.1/su_678113.xlsx","su_678113")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HYPERLINK("./new_k5/query_cmdrels_weight_analyze/0.6_0.3_0.1/su_686394.xlsx","su_686394")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HYPERLINK("./new_k5/query_cmdrels_weight_analyze/0.6_0.3_0.1/su_716795.xlsx","su_716795")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0.125</v>
      </c>
    </row>
    <row r="336" spans="1:7" x14ac:dyDescent="0.15">
      <c r="A336" t="str">
        <f>HYPERLINK("./new_k5/query_cmdrels_weight_analyze/0.6_0.3_0.1/su_758463.xlsx","su_758463")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HYPERLINK("./new_k5/query_cmdrels_weight_analyze/0.6_0.3_0.1/su_766437.xlsx","su_766437")</f>
        <v>su_766437</v>
      </c>
      <c r="B337">
        <v>0</v>
      </c>
      <c r="C337">
        <v>0</v>
      </c>
      <c r="D337">
        <v>0</v>
      </c>
      <c r="E337">
        <v>0.23333333333333331</v>
      </c>
      <c r="F337">
        <v>0.05</v>
      </c>
      <c r="G337">
        <v>0.35333333333333328</v>
      </c>
    </row>
    <row r="338" spans="1:7" x14ac:dyDescent="0.15">
      <c r="A338" t="str">
        <f>HYPERLINK("./new_k5/query_cmdrels_weight_analyze/0.6_0.3_0.1/su_904001.xlsx","su_904001")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HYPERLINK("./new_k5/query_cmdrels_weight_analyze/0.6_0.3_0.1/ul_100959.xlsx","ul_100959")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HYPERLINK("./new_k5/query_cmdrels_weight_analyze/0.6_0.3_0.1/ul_101073.xlsx","ul_101073")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HYPERLINK("./new_k5/query_cmdrels_weight_analyze/0.6_0.3_0.1/ul_101237.xlsx","ul_101237")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HYPERLINK("./new_k5/query_cmdrels_weight_analyze/0.6_0.3_0.1/ul_102752.xlsx","ul_102752")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HYPERLINK("./new_k5/query_cmdrels_weight_analyze/0.6_0.3_0.1/ul_108174.xlsx","ul_108174")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HYPERLINK("./new_k5/query_cmdrels_weight_analyze/0.6_0.3_0.1/ul_109536.xlsx","ul_109536")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HYPERLINK("./new_k5/query_cmdrels_weight_analyze/0.6_0.3_0.1/ul_112050.xlsx","ul_112050")</f>
        <v>ul_112050</v>
      </c>
      <c r="B345">
        <v>0</v>
      </c>
      <c r="C345">
        <v>0.25</v>
      </c>
      <c r="D345">
        <v>0.125</v>
      </c>
      <c r="E345">
        <v>0.75</v>
      </c>
      <c r="F345">
        <v>0.125</v>
      </c>
      <c r="G345">
        <v>0.75</v>
      </c>
    </row>
    <row r="346" spans="1:7" x14ac:dyDescent="0.15">
      <c r="A346" t="str">
        <f>HYPERLINK("./new_k5/query_cmdrels_weight_analyze/0.6_0.3_0.1/ul_116070.xlsx","ul_116070")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HYPERLINK("./new_k5/query_cmdrels_weight_analyze/0.6_0.3_0.1/ul_11851.xlsx","ul_11851")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HYPERLINK("./new_k5/query_cmdrels_weight_analyze/0.6_0.3_0.1/ul_119126.xlsx","ul_119126")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HYPERLINK("./new_k5/query_cmdrels_weight_analyze/0.6_0.3_0.1/ul_121718.xlsx","ul_121718")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HYPERLINK("./new_k5/query_cmdrels_weight_analyze/0.6_0.3_0.1/ul_12227.xlsx","ul_12227")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HYPERLINK("./new_k5/query_cmdrels_weight_analyze/0.6_0.3_0.1/ul_12453.xlsx","ul_12453")</f>
        <v>ul_12453</v>
      </c>
      <c r="B351">
        <v>0</v>
      </c>
      <c r="C351">
        <v>0.25</v>
      </c>
      <c r="D351">
        <v>0.125</v>
      </c>
      <c r="E351">
        <v>0.75</v>
      </c>
      <c r="F351">
        <v>0.125</v>
      </c>
      <c r="G351">
        <v>1</v>
      </c>
    </row>
    <row r="352" spans="1:7" x14ac:dyDescent="0.15">
      <c r="A352" t="str">
        <f>HYPERLINK("./new_k5/query_cmdrels_weight_analyze/0.6_0.3_0.1/ul_12535.xlsx","ul_12535")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0.28666666666666663</v>
      </c>
    </row>
    <row r="353" spans="1:7" x14ac:dyDescent="0.15">
      <c r="A353" t="str">
        <f>HYPERLINK("./new_k5/query_cmdrels_weight_analyze/0.6_0.3_0.1/ul_127066.xlsx","ul_127066")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0.41666666666666657</v>
      </c>
    </row>
    <row r="354" spans="1:7" x14ac:dyDescent="0.15">
      <c r="A354" t="str">
        <f>HYPERLINK("./new_k5/query_cmdrels_weight_analyze/0.6_0.3_0.1/ul_128953.xlsx","ul_128953")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HYPERLINK("./new_k5/query_cmdrels_weight_analyze/0.6_0.3_0.1/ul_134829.xlsx","ul_134829")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0.66666666666666663</v>
      </c>
    </row>
    <row r="356" spans="1:7" x14ac:dyDescent="0.15">
      <c r="A356" t="str">
        <f>HYPERLINK("./new_k5/query_cmdrels_weight_analyze/0.6_0.3_0.1/ul_136371.xlsx","ul_136371")</f>
        <v>ul_136371</v>
      </c>
      <c r="B356">
        <v>0</v>
      </c>
      <c r="C356">
        <v>0</v>
      </c>
      <c r="D356">
        <v>0</v>
      </c>
      <c r="E356">
        <v>0.1111111111111111</v>
      </c>
      <c r="F356">
        <v>0</v>
      </c>
      <c r="G356">
        <v>0.24444444444444449</v>
      </c>
    </row>
    <row r="357" spans="1:7" x14ac:dyDescent="0.15">
      <c r="A357" t="str">
        <f>HYPERLINK("./new_k5/query_cmdrels_weight_analyze/0.6_0.3_0.1/ul_136884.xlsx","ul_136884")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HYPERLINK("./new_k5/query_cmdrels_weight_analyze/0.6_0.3_0.1/ul_138398.xlsx","ul_138398")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HYPERLINK("./new_k5/query_cmdrels_weight_analyze/0.6_0.3_0.1/ul_139271.xlsx","ul_139271")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0.16666666666666671</v>
      </c>
      <c r="F359">
        <v>0.33333333333333331</v>
      </c>
      <c r="G359">
        <v>0.35</v>
      </c>
    </row>
    <row r="360" spans="1:7" x14ac:dyDescent="0.15">
      <c r="A360" t="str">
        <f>HYPERLINK("./new_k5/query_cmdrels_weight_analyze/0.6_0.3_0.1/ul_140482.xlsx","ul_140482")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HYPERLINK("./new_k5/query_cmdrels_weight_analyze/0.6_0.3_0.1/ul_14191.xlsx","ul_14191")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0.1111111111111111</v>
      </c>
    </row>
    <row r="362" spans="1:7" x14ac:dyDescent="0.15">
      <c r="A362" t="str">
        <f>HYPERLINK("./new_k5/query_cmdrels_weight_analyze/0.6_0.3_0.1/ul_145929.xlsx","ul_145929")</f>
        <v>ul_145929</v>
      </c>
      <c r="B362">
        <v>0</v>
      </c>
      <c r="C362">
        <v>0</v>
      </c>
      <c r="D362">
        <v>0.16666666666666671</v>
      </c>
      <c r="E362">
        <v>0.25</v>
      </c>
      <c r="F362">
        <v>0.16666666666666671</v>
      </c>
      <c r="G362">
        <v>0.5</v>
      </c>
    </row>
    <row r="363" spans="1:7" x14ac:dyDescent="0.15">
      <c r="A363" t="str">
        <f>HYPERLINK("./new_k5/query_cmdrels_weight_analyze/0.6_0.3_0.1/ul_148985.xlsx","ul_148985")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HYPERLINK("./new_k5/query_cmdrels_weight_analyze/0.6_0.3_0.1/ul_15405.xlsx","ul_15405")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HYPERLINK("./new_k5/query_cmdrels_weight_analyze/0.6_0.3_0.1/ul_155551.xlsx","ul_155551")</f>
        <v>ul_155551</v>
      </c>
      <c r="B365">
        <v>0</v>
      </c>
      <c r="C365">
        <v>0.5</v>
      </c>
      <c r="D365">
        <v>0</v>
      </c>
      <c r="E365">
        <v>0.83333333333333326</v>
      </c>
      <c r="F365">
        <v>0</v>
      </c>
      <c r="G365">
        <v>0.83333333333333326</v>
      </c>
    </row>
    <row r="366" spans="1:7" x14ac:dyDescent="0.15">
      <c r="A366" t="str">
        <f>HYPERLINK("./new_k5/query_cmdrels_weight_analyze/0.6_0.3_0.1/ul_159672.xlsx","ul_159672")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HYPERLINK("./new_k5/query_cmdrels_weight_analyze/0.6_0.3_0.1/ul_163845.xlsx","ul_163845")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HYPERLINK("./new_k5/query_cmdrels_weight_analyze/0.6_0.3_0.1/ul_16407.xlsx","ul_16407")</f>
        <v>ul_16407</v>
      </c>
      <c r="B368">
        <v>0.5</v>
      </c>
      <c r="C368">
        <v>0</v>
      </c>
      <c r="D368">
        <v>0.5</v>
      </c>
      <c r="E368">
        <v>0.25</v>
      </c>
      <c r="F368">
        <v>0.75</v>
      </c>
      <c r="G368">
        <v>0.25</v>
      </c>
    </row>
    <row r="369" spans="1:7" x14ac:dyDescent="0.15">
      <c r="A369" t="str">
        <f>HYPERLINK("./new_k5/query_cmdrels_weight_analyze/0.6_0.3_0.1/ul_166558.xlsx","ul_166558")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HYPERLINK("./new_k5/query_cmdrels_weight_analyze/0.6_0.3_0.1/ul_171314.xlsx","ul_171314")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0.27777777777777768</v>
      </c>
      <c r="F370">
        <v>0.16666666666666671</v>
      </c>
      <c r="G370">
        <v>0.27777777777777768</v>
      </c>
    </row>
    <row r="371" spans="1:7" x14ac:dyDescent="0.15">
      <c r="A371" t="str">
        <f>HYPERLINK("./new_k5/query_cmdrels_weight_analyze/0.6_0.3_0.1/ul_182032.xlsx","ul_182032")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HYPERLINK("./new_k5/query_cmdrels_weight_analyze/0.6_0.3_0.1/ul_19344.xlsx","ul_19344")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HYPERLINK("./new_k5/query_cmdrels_weight_analyze/0.6_0.3_0.1/ul_19369.xlsx","ul_19369")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0.1466666666666667</v>
      </c>
    </row>
    <row r="374" spans="1:7" x14ac:dyDescent="0.15">
      <c r="A374" t="str">
        <f>HYPERLINK("./new_k5/query_cmdrels_weight_analyze/0.6_0.3_0.1/ul_19485.xlsx","ul_19485")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HYPERLINK("./new_k5/query_cmdrels_weight_analyze/0.6_0.3_0.1/ul_20370.xlsx","ul_20370")</f>
        <v>ul_20370</v>
      </c>
      <c r="B375">
        <v>0</v>
      </c>
      <c r="C375">
        <v>0.5</v>
      </c>
      <c r="D375">
        <v>0</v>
      </c>
      <c r="E375">
        <v>0.5</v>
      </c>
      <c r="F375">
        <v>0</v>
      </c>
      <c r="G375">
        <v>0.5</v>
      </c>
    </row>
    <row r="376" spans="1:7" x14ac:dyDescent="0.15">
      <c r="A376" t="str">
        <f>HYPERLINK("./new_k5/query_cmdrels_weight_analyze/0.6_0.3_0.1/ul_211817.xlsx","ul_211817")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HYPERLINK("./new_k5/query_cmdrels_weight_analyze/0.6_0.3_0.1/ul_212925.xlsx","ul_212925")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HYPERLINK("./new_k5/query_cmdrels_weight_analyze/0.6_0.3_0.1/ul_21471.xlsx","ul_21471")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HYPERLINK("./new_k5/query_cmdrels_weight_analyze/0.6_0.3_0.1/ul_22545.xlsx","ul_22545")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HYPERLINK("./new_k5/query_cmdrels_weight_analyze/0.6_0.3_0.1/ul_230481.xlsx","ul_230481")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0.75555555555555554</v>
      </c>
    </row>
    <row r="381" spans="1:7" x14ac:dyDescent="0.15">
      <c r="A381" t="str">
        <f>HYPERLINK("./new_k5/query_cmdrels_weight_analyze/0.6_0.3_0.1/ul_230673.xlsx","ul_230673")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0.45</v>
      </c>
    </row>
    <row r="382" spans="1:7" x14ac:dyDescent="0.15">
      <c r="A382" t="str">
        <f>HYPERLINK("./new_k5/query_cmdrels_weight_analyze/0.6_0.3_0.1/ul_230800.xlsx","ul_230800")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HYPERLINK("./new_k5/query_cmdrels_weight_analyze/0.6_0.3_0.1/ul_232384.xlsx","ul_232384")</f>
        <v>ul_232384</v>
      </c>
      <c r="B383">
        <v>0</v>
      </c>
      <c r="C383">
        <v>0.5</v>
      </c>
      <c r="D383">
        <v>0</v>
      </c>
      <c r="E383">
        <v>0.83333333333333326</v>
      </c>
      <c r="F383">
        <v>0</v>
      </c>
      <c r="G383">
        <v>0.83333333333333326</v>
      </c>
    </row>
    <row r="384" spans="1:7" x14ac:dyDescent="0.15">
      <c r="A384" t="str">
        <f>HYPERLINK("./new_k5/query_cmdrels_weight_analyze/0.6_0.3_0.1/ul_24441.xlsx","ul_24441")</f>
        <v>ul_24441</v>
      </c>
      <c r="B384">
        <v>0</v>
      </c>
      <c r="C384">
        <v>0.5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HYPERLINK("./new_k5/query_cmdrels_weight_analyze/0.6_0.3_0.1/ul_246535.xlsx","ul_246535")</f>
        <v>ul_246535</v>
      </c>
      <c r="B385">
        <v>0.2</v>
      </c>
      <c r="C385">
        <v>0</v>
      </c>
      <c r="D385">
        <v>0.2</v>
      </c>
      <c r="E385">
        <v>0.23333333333333331</v>
      </c>
      <c r="F385">
        <v>0.2</v>
      </c>
      <c r="G385">
        <v>0.23333333333333331</v>
      </c>
    </row>
    <row r="386" spans="1:7" x14ac:dyDescent="0.15">
      <c r="A386" t="str">
        <f>HYPERLINK("./new_k5/query_cmdrels_weight_analyze/0.6_0.3_0.1/ul_259791.xlsx","ul_259791")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HYPERLINK("./new_k5/query_cmdrels_weight_analyze/0.6_0.3_0.1/ul_273971.xlsx","ul_273971")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0.27777777777777768</v>
      </c>
      <c r="F387">
        <v>0.43333333333333329</v>
      </c>
      <c r="G387">
        <v>0.27777777777777768</v>
      </c>
    </row>
    <row r="388" spans="1:7" x14ac:dyDescent="0.15">
      <c r="A388" t="str">
        <f>HYPERLINK("./new_k5/query_cmdrels_weight_analyze/0.6_0.3_0.1/ul_28553.xlsx","ul_28553")</f>
        <v>ul_28553</v>
      </c>
      <c r="B388">
        <v>0.25</v>
      </c>
      <c r="C388">
        <v>0.25</v>
      </c>
      <c r="D388">
        <v>0.5</v>
      </c>
      <c r="E388">
        <v>0.25</v>
      </c>
      <c r="F388">
        <v>0.5</v>
      </c>
      <c r="G388">
        <v>0.25</v>
      </c>
    </row>
    <row r="389" spans="1:7" x14ac:dyDescent="0.15">
      <c r="A389" t="str">
        <f>HYPERLINK("./new_k5/query_cmdrels_weight_analyze/0.6_0.3_0.1/ul_288521.xlsx","ul_288521")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HYPERLINK("./new_k5/query_cmdrels_weight_analyze/0.6_0.3_0.1/ul_32290.xlsx","ul_32290")</f>
        <v>ul_32290</v>
      </c>
      <c r="B390">
        <v>0</v>
      </c>
      <c r="C390">
        <v>0</v>
      </c>
      <c r="D390">
        <v>0</v>
      </c>
      <c r="E390">
        <v>8.3333333333333329E-2</v>
      </c>
      <c r="F390">
        <v>0</v>
      </c>
      <c r="G390">
        <v>8.3333333333333329E-2</v>
      </c>
    </row>
    <row r="391" spans="1:7" x14ac:dyDescent="0.15">
      <c r="A391" t="str">
        <f>HYPERLINK("./new_k5/query_cmdrels_weight_analyze/0.6_0.3_0.1/ul_328882.xlsx","ul_328882")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HYPERLINK("./new_k5/query_cmdrels_weight_analyze/0.6_0.3_0.1/ul_35131.xlsx","ul_35131")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0.66666666666666663</v>
      </c>
    </row>
    <row r="393" spans="1:7" x14ac:dyDescent="0.15">
      <c r="A393" t="str">
        <f>HYPERLINK("./new_k5/query_cmdrels_weight_analyze/0.6_0.3_0.1/ul_35333.xlsx","ul_35333")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HYPERLINK("./new_k5/query_cmdrels_weight_analyze/0.6_0.3_0.1/ul_35711.xlsx","ul_35711")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HYPERLINK("./new_k5/query_cmdrels_weight_analyze/0.6_0.3_0.1/ul_3575.xlsx","ul_3575")</f>
        <v>ul_3575</v>
      </c>
      <c r="B395">
        <v>0</v>
      </c>
      <c r="C395">
        <v>0</v>
      </c>
      <c r="D395">
        <v>8.3333333333333329E-2</v>
      </c>
      <c r="E395">
        <v>5.5555555555555552E-2</v>
      </c>
      <c r="F395">
        <v>8.3333333333333329E-2</v>
      </c>
      <c r="G395">
        <v>5.5555555555555552E-2</v>
      </c>
    </row>
    <row r="396" spans="1:7" x14ac:dyDescent="0.15">
      <c r="A396" t="str">
        <f>HYPERLINK("./new_k5/query_cmdrels_weight_analyze/0.6_0.3_0.1/ul_35832.xlsx","ul_35832")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HYPERLINK("./new_k5/query_cmdrels_weight_analyze/0.6_0.3_0.1/ul_370318.xlsx","ul_370318")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0.23809523809523811</v>
      </c>
      <c r="F397">
        <v>0.14285714285714279</v>
      </c>
      <c r="G397">
        <v>0.23809523809523811</v>
      </c>
    </row>
    <row r="398" spans="1:7" x14ac:dyDescent="0.15">
      <c r="A398" t="str">
        <f>HYPERLINK("./new_k5/query_cmdrels_weight_analyze/0.6_0.3_0.1/ul_37329.xlsx","ul_37329")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0.66666666666666663</v>
      </c>
      <c r="F398">
        <v>0.33333333333333331</v>
      </c>
      <c r="G398">
        <v>0.66666666666666663</v>
      </c>
    </row>
    <row r="399" spans="1:7" x14ac:dyDescent="0.15">
      <c r="A399" t="str">
        <f>HYPERLINK("./new_k5/query_cmdrels_weight_analyze/0.6_0.3_0.1/ul_38209.xlsx","ul_38209")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HYPERLINK("./new_k5/query_cmdrels_weight_analyze/0.6_0.3_0.1/ul_41246.xlsx","ul_41246")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HYPERLINK("./new_k5/query_cmdrels_weight_analyze/0.6_0.3_0.1/ul_41362.xlsx","ul_41362")</f>
        <v>ul_41362</v>
      </c>
      <c r="B401">
        <v>0</v>
      </c>
      <c r="C401">
        <v>0</v>
      </c>
      <c r="D401">
        <v>0</v>
      </c>
      <c r="E401">
        <v>8.3333333333333329E-2</v>
      </c>
      <c r="F401">
        <v>0</v>
      </c>
      <c r="G401">
        <v>8.3333333333333329E-2</v>
      </c>
    </row>
    <row r="402" spans="1:7" x14ac:dyDescent="0.15">
      <c r="A402" t="str">
        <f>HYPERLINK("./new_k5/query_cmdrels_weight_analyze/0.6_0.3_0.1/ul_48200.xlsx","ul_48200")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HYPERLINK("./new_k5/query_cmdrels_weight_analyze/0.6_0.3_0.1/ul_50098.xlsx","ul_50098")</f>
        <v>ul_50098</v>
      </c>
      <c r="B403">
        <v>0</v>
      </c>
      <c r="C403">
        <v>0</v>
      </c>
      <c r="D403">
        <v>0.1166666666666667</v>
      </c>
      <c r="E403">
        <v>0.05</v>
      </c>
      <c r="F403">
        <v>0.1166666666666667</v>
      </c>
      <c r="G403">
        <v>0.16</v>
      </c>
    </row>
    <row r="404" spans="1:7" x14ac:dyDescent="0.15">
      <c r="A404" t="str">
        <f>HYPERLINK("./new_k5/query_cmdrels_weight_analyze/0.6_0.3_0.1/ul_50785.xlsx","ul_50785")</f>
        <v>ul_50785</v>
      </c>
      <c r="B404">
        <v>0.25</v>
      </c>
      <c r="C404">
        <v>0.25</v>
      </c>
      <c r="D404">
        <v>0.25</v>
      </c>
      <c r="E404">
        <v>0.25</v>
      </c>
      <c r="F404">
        <v>0.25</v>
      </c>
      <c r="G404">
        <v>0.25</v>
      </c>
    </row>
    <row r="405" spans="1:7" x14ac:dyDescent="0.15">
      <c r="A405" t="str">
        <f>HYPERLINK("./new_k5/query_cmdrels_weight_analyze/0.6_0.3_0.1/ul_5085.xlsx","ul_5085")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HYPERLINK("./new_k5/query_cmdrels_weight_analyze/0.6_0.3_0.1/ul_53737.xlsx","ul_53737")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HYPERLINK("./new_k5/query_cmdrels_weight_analyze/0.6_0.3_0.1/ul_55125.xlsx","ul_55125")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HYPERLINK("./new_k5/query_cmdrels_weight_analyze/0.6_0.3_0.1/ul_56453.xlsx","ul_56453")</f>
        <v>ul_56453</v>
      </c>
      <c r="B408">
        <v>0</v>
      </c>
      <c r="C408">
        <v>0.25</v>
      </c>
      <c r="D408">
        <v>8.3333333333333329E-2</v>
      </c>
      <c r="E408">
        <v>0.25</v>
      </c>
      <c r="F408">
        <v>8.3333333333333329E-2</v>
      </c>
      <c r="G408">
        <v>0.52500000000000002</v>
      </c>
    </row>
    <row r="409" spans="1:7" x14ac:dyDescent="0.15">
      <c r="A409" t="str">
        <f>HYPERLINK("./new_k5/query_cmdrels_weight_analyze/0.6_0.3_0.1/ul_63648.xlsx","ul_63648")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HYPERLINK("./new_k5/query_cmdrels_weight_analyze/0.6_0.3_0.1/ul_6402.xlsx","ul_6402")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0.33333333333333331</v>
      </c>
    </row>
    <row r="411" spans="1:7" x14ac:dyDescent="0.15">
      <c r="A411" t="str">
        <f>HYPERLINK("./new_k5/query_cmdrels_weight_analyze/0.6_0.3_0.1/ul_65106.xlsx","ul_65106")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0.66666666666666663</v>
      </c>
    </row>
    <row r="412" spans="1:7" x14ac:dyDescent="0.15">
      <c r="A412" t="str">
        <f>HYPERLINK("./new_k5/query_cmdrels_weight_analyze/0.6_0.3_0.1/ul_65932.xlsx","ul_65932")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HYPERLINK("./new_k5/query_cmdrels_weight_analyze/0.6_0.3_0.1/ul_6596.xlsx","ul_6596")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HYPERLINK("./new_k5/query_cmdrels_weight_analyze/0.6_0.3_0.1/ul_67503.xlsx","ul_67503")</f>
        <v>ul_67503</v>
      </c>
      <c r="B414">
        <v>0</v>
      </c>
      <c r="C414">
        <v>0.5</v>
      </c>
      <c r="D414">
        <v>0.25</v>
      </c>
      <c r="E414">
        <v>0.5</v>
      </c>
      <c r="F414">
        <v>0.5</v>
      </c>
      <c r="G414">
        <v>0.5</v>
      </c>
    </row>
    <row r="415" spans="1:7" x14ac:dyDescent="0.15">
      <c r="A415" t="str">
        <f>HYPERLINK("./new_k5/query_cmdrels_weight_analyze/0.6_0.3_0.1/ul_67592.xlsx","ul_67592")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HYPERLINK("./new_k5/query_cmdrels_weight_analyze/0.6_0.3_0.1/ul_70581.xlsx","ul_70581")</f>
        <v>ul_70581</v>
      </c>
      <c r="B416">
        <v>0</v>
      </c>
      <c r="C416">
        <v>0.2</v>
      </c>
      <c r="D416">
        <v>0.1</v>
      </c>
      <c r="E416">
        <v>0.6</v>
      </c>
      <c r="F416">
        <v>0.1</v>
      </c>
      <c r="G416">
        <v>0.6</v>
      </c>
    </row>
    <row r="417" spans="1:7" x14ac:dyDescent="0.15">
      <c r="A417" t="str">
        <f>HYPERLINK("./new_k5/query_cmdrels_weight_analyze/0.6_0.3_0.1/ul_70614.xlsx","ul_70614")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HYPERLINK("./new_k5/query_cmdrels_weight_analyze/0.6_0.3_0.1/ul_71465.xlsx","ul_71465")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HYPERLINK("./new_k5/query_cmdrels_weight_analyze/0.6_0.3_0.1/ul_7226.xlsx","ul_7226")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0.33333333333333331</v>
      </c>
      <c r="F419">
        <v>0.33333333333333331</v>
      </c>
      <c r="G419">
        <v>0.5</v>
      </c>
    </row>
    <row r="420" spans="1:7" x14ac:dyDescent="0.15">
      <c r="A420" t="str">
        <f>HYPERLINK("./new_k5/query_cmdrels_weight_analyze/0.6_0.3_0.1/ul_78182.xlsx","ul_78182")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</v>
      </c>
    </row>
    <row r="421" spans="1:7" x14ac:dyDescent="0.15">
      <c r="A421" t="str">
        <f>HYPERLINK("./new_k5/query_cmdrels_weight_analyze/0.6_0.3_0.1/ul_79678.xlsx","ul_79678")</f>
        <v>ul_79678</v>
      </c>
      <c r="B421">
        <v>0</v>
      </c>
      <c r="C421">
        <v>0</v>
      </c>
      <c r="D421">
        <v>0.25</v>
      </c>
      <c r="E421">
        <v>0.16666666666666671</v>
      </c>
      <c r="F421">
        <v>0.25</v>
      </c>
      <c r="G421">
        <v>0.16666666666666671</v>
      </c>
    </row>
    <row r="422" spans="1:7" x14ac:dyDescent="0.15">
      <c r="A422" t="str">
        <f>HYPERLINK("./new_k5/query_cmdrels_weight_analyze/0.6_0.3_0.1/ul_79702.xlsx","ul_79702")</f>
        <v>ul_79702</v>
      </c>
      <c r="B422">
        <v>0</v>
      </c>
      <c r="C422">
        <v>0.33333333333333331</v>
      </c>
      <c r="D422">
        <v>0</v>
      </c>
      <c r="E422">
        <v>0.55555555555555547</v>
      </c>
      <c r="F422">
        <v>0</v>
      </c>
      <c r="G422">
        <v>0.75555555555555554</v>
      </c>
    </row>
    <row r="423" spans="1:7" x14ac:dyDescent="0.15">
      <c r="A423" t="str">
        <f>HYPERLINK("./new_k5/query_cmdrels_weight_analyze/0.6_0.3_0.1/ul_83593.xlsx","ul_83593")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HYPERLINK("./new_k5/query_cmdrels_weight_analyze/0.6_0.3_0.1/ul_84381.xlsx","ul_84381")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HYPERLINK("./new_k5/query_cmdrels_weight_analyze/0.6_0.3_0.1/ul_85180.xlsx","ul_85180")</f>
        <v>ul_85180</v>
      </c>
      <c r="B425">
        <v>0</v>
      </c>
      <c r="C425">
        <v>0.33333333333333331</v>
      </c>
      <c r="D425">
        <v>0.16666666666666671</v>
      </c>
      <c r="E425">
        <v>0.33333333333333331</v>
      </c>
      <c r="F425">
        <v>0.16666666666666671</v>
      </c>
      <c r="G425">
        <v>0.5</v>
      </c>
    </row>
    <row r="426" spans="1:7" x14ac:dyDescent="0.15">
      <c r="A426" t="str">
        <f>HYPERLINK("./new_k5/query_cmdrels_weight_analyze/0.6_0.3_0.1/ul_86071.xlsx","ul_86071")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HYPERLINK("./new_k5/query_cmdrels_weight_analyze/0.6_0.3_0.1/ul_86729.xlsx","ul_86729")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HYPERLINK("./new_k5/query_cmdrels_weight_analyze/0.6_0.3_0.1/ul_88824.xlsx","ul_88824")</f>
        <v>ul_88824</v>
      </c>
      <c r="B428">
        <v>0</v>
      </c>
      <c r="C428">
        <v>0.33333333333333331</v>
      </c>
      <c r="D428">
        <v>0</v>
      </c>
      <c r="E428">
        <v>0.33333333333333331</v>
      </c>
      <c r="F428">
        <v>0</v>
      </c>
      <c r="G428">
        <v>0.33333333333333331</v>
      </c>
    </row>
    <row r="429" spans="1:7" x14ac:dyDescent="0.15">
      <c r="A429" t="str">
        <f>HYPERLINK("./new_k5/query_cmdrels_weight_analyze/0.6_0.3_0.1/ul_8945.xlsx","ul_8945")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HYPERLINK("./new_k5/query_cmdrels_weight_analyze/0.6_0.3_0.1/ul_89933.xlsx","ul_89933")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HYPERLINK("./new_k5/query_cmdrels_weight_analyze/0.6_0.3_0.1/ul_91297.xlsx","ul_91297")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HYPERLINK("./new_k5/query_cmdrels_weight_analyze/0.6_0.3_0.1/ul_9252.xlsx","ul_9252")</f>
        <v>ul_9252</v>
      </c>
      <c r="B432">
        <v>0</v>
      </c>
      <c r="C432">
        <v>0</v>
      </c>
      <c r="D432">
        <v>0.23333333333333331</v>
      </c>
      <c r="E432">
        <v>6.6666666666666666E-2</v>
      </c>
      <c r="F432">
        <v>0.23333333333333331</v>
      </c>
      <c r="G432">
        <v>0.1466666666666667</v>
      </c>
    </row>
    <row r="433" spans="1:7" x14ac:dyDescent="0.15">
      <c r="A433" t="str">
        <f>HYPERLINK("./new_k5/query_cmdrels_weight_analyze/0.6_0.3_0.1/ul_92560.xlsx","ul_92560")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0.5</v>
      </c>
    </row>
    <row r="434" spans="1:7" x14ac:dyDescent="0.15">
      <c r="A434" t="str">
        <f>HYPERLINK("./new_k5/query_cmdrels_weight_analyze/0.6_0.3_0.1/ul_92799.xlsx","ul_92799")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0.5</v>
      </c>
      <c r="F434">
        <v>0.53611111111111109</v>
      </c>
      <c r="G434">
        <v>0.66666666666666663</v>
      </c>
    </row>
    <row r="435" spans="1:7" x14ac:dyDescent="0.15">
      <c r="A435" t="str">
        <f>HYPERLINK("./new_k5/query_cmdrels_weight_analyze/0.6_0.3_0.1/ul_93139.xlsx","ul_93139")</f>
        <v>ul_93139</v>
      </c>
      <c r="B435">
        <v>0</v>
      </c>
      <c r="C435">
        <v>0.5</v>
      </c>
      <c r="D435">
        <v>0.25</v>
      </c>
      <c r="E435">
        <v>0.5</v>
      </c>
      <c r="F435">
        <v>0.25</v>
      </c>
      <c r="G435">
        <v>0.5</v>
      </c>
    </row>
    <row r="436" spans="1:7" x14ac:dyDescent="0.15">
      <c r="A436" t="str">
        <f>HYPERLINK("./new_k5/query_cmdrels_weight_analyze/0.6_0.3_0.1/ul_98461.xlsx","ul_98461")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HYPERLINK("./new_k5/query_cmdrels_weight_analyze/0.7_0.1_0.2/au_102733.xlsx","au_102733")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HYPERLINK("./new_k5/query_cmdrels_weight_analyze/0.7_0.1_0.2/au_1029436.xlsx","au_1029436")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HYPERLINK("./new_k5/query_cmdrels_weight_analyze/0.7_0.1_0.2/au_1029502.xlsx","au_1029502")</f>
        <v>au_1029502</v>
      </c>
      <c r="B5">
        <v>0.25</v>
      </c>
      <c r="C5">
        <v>0</v>
      </c>
      <c r="D5">
        <v>0.25</v>
      </c>
      <c r="E5">
        <v>8.3333333333333329E-2</v>
      </c>
      <c r="F5">
        <v>0.375</v>
      </c>
      <c r="G5">
        <v>8.3333333333333329E-2</v>
      </c>
    </row>
    <row r="6" spans="1:7" x14ac:dyDescent="0.15">
      <c r="A6" t="str">
        <f>HYPERLINK("./new_k5/query_cmdrels_weight_analyze/0.7_0.1_0.2/au_1029531.xlsx","au_1029531")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HYPERLINK("./new_k5/query_cmdrels_weight_analyze/0.7_0.1_0.2/au_104542.xlsx","au_104542")</f>
        <v>au_104542</v>
      </c>
      <c r="B7">
        <v>0.125</v>
      </c>
      <c r="C7">
        <v>0.125</v>
      </c>
      <c r="D7">
        <v>0.25</v>
      </c>
      <c r="E7">
        <v>0.25</v>
      </c>
      <c r="F7">
        <v>0.25</v>
      </c>
      <c r="G7">
        <v>0.32500000000000001</v>
      </c>
    </row>
    <row r="8" spans="1:7" x14ac:dyDescent="0.15">
      <c r="A8" t="str">
        <f>HYPERLINK("./new_k5/query_cmdrels_weight_analyze/0.7_0.1_0.2/au_109070.xlsx","au_109070")</f>
        <v>au_109070</v>
      </c>
      <c r="B8">
        <v>0</v>
      </c>
      <c r="C8">
        <v>0</v>
      </c>
      <c r="D8">
        <v>0.23333333333333331</v>
      </c>
      <c r="E8">
        <v>6.6666666666666666E-2</v>
      </c>
      <c r="F8">
        <v>0.3833333333333333</v>
      </c>
      <c r="G8">
        <v>6.6666666666666666E-2</v>
      </c>
    </row>
    <row r="9" spans="1:7" x14ac:dyDescent="0.15">
      <c r="A9" t="str">
        <f>HYPERLINK("./new_k5/query_cmdrels_weight_analyze/0.7_0.1_0.2/au_109381.xlsx","au_109381")</f>
        <v>au_109381</v>
      </c>
      <c r="B9">
        <v>0</v>
      </c>
      <c r="C9">
        <v>0</v>
      </c>
      <c r="D9">
        <v>0.25</v>
      </c>
      <c r="E9">
        <v>0.25</v>
      </c>
      <c r="F9">
        <v>0.25</v>
      </c>
      <c r="G9">
        <v>0.25</v>
      </c>
    </row>
    <row r="10" spans="1:7" x14ac:dyDescent="0.15">
      <c r="A10" t="str">
        <f>HYPERLINK("./new_k5/query_cmdrels_weight_analyze/0.7_0.1_0.2/au_110477.xlsx","au_110477")</f>
        <v>au_110477</v>
      </c>
      <c r="B10">
        <v>0.25</v>
      </c>
      <c r="C10">
        <v>0.25</v>
      </c>
      <c r="D10">
        <v>0.5</v>
      </c>
      <c r="E10">
        <v>0.75</v>
      </c>
      <c r="F10">
        <v>0.5</v>
      </c>
      <c r="G10">
        <v>0.75</v>
      </c>
    </row>
    <row r="11" spans="1:7" x14ac:dyDescent="0.15">
      <c r="A11" t="str">
        <f>HYPERLINK("./new_k5/query_cmdrels_weight_analyze/0.7_0.1_0.2/au_111678.xlsx","au_111678")</f>
        <v>au_111678</v>
      </c>
      <c r="B11">
        <v>0</v>
      </c>
      <c r="C11">
        <v>0</v>
      </c>
      <c r="D11">
        <v>0.1111111111111111</v>
      </c>
      <c r="E11">
        <v>0.16666666666666671</v>
      </c>
      <c r="F11">
        <v>0.1111111111111111</v>
      </c>
      <c r="G11">
        <v>0.16666666666666671</v>
      </c>
    </row>
    <row r="12" spans="1:7" x14ac:dyDescent="0.15">
      <c r="A12" t="str">
        <f>HYPERLINK("./new_k5/query_cmdrels_weight_analyze/0.7_0.1_0.2/au_112512.xlsx","au_112512")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HYPERLINK("./new_k5/query_cmdrels_weight_analyze/0.7_0.1_0.2/au_115369.xlsx","au_115369")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HYPERLINK("./new_k5/query_cmdrels_weight_analyze/0.7_0.1_0.2/au_11789.xlsx","au_11789")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HYPERLINK("./new_k5/query_cmdrels_weight_analyze/0.7_0.1_0.2/au_117950.xlsx","au_117950")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0.125</v>
      </c>
    </row>
    <row r="16" spans="1:7" x14ac:dyDescent="0.15">
      <c r="A16" t="str">
        <f>HYPERLINK("./new_k5/query_cmdrels_weight_analyze/0.7_0.1_0.2/au_122113.xlsx","au_122113")</f>
        <v>au_122113</v>
      </c>
      <c r="B16">
        <v>0.25</v>
      </c>
      <c r="C16">
        <v>0</v>
      </c>
      <c r="D16">
        <v>0.25</v>
      </c>
      <c r="E16">
        <v>8.3333333333333329E-2</v>
      </c>
      <c r="F16">
        <v>0.25</v>
      </c>
      <c r="G16">
        <v>0.20833333333333329</v>
      </c>
    </row>
    <row r="17" spans="1:7" x14ac:dyDescent="0.15">
      <c r="A17" t="str">
        <f>HYPERLINK("./new_k5/query_cmdrels_weight_analyze/0.7_0.1_0.2/au_123798.xlsx","au_123798")</f>
        <v>au_123798</v>
      </c>
      <c r="B17">
        <v>0</v>
      </c>
      <c r="C17">
        <v>0</v>
      </c>
      <c r="D17">
        <v>5.5555555555555552E-2</v>
      </c>
      <c r="E17">
        <v>0.19444444444444439</v>
      </c>
      <c r="F17">
        <v>0.23888888888888879</v>
      </c>
      <c r="G17">
        <v>0.31944444444444442</v>
      </c>
    </row>
    <row r="18" spans="1:7" x14ac:dyDescent="0.15">
      <c r="A18" t="str">
        <f>HYPERLINK("./new_k5/query_cmdrels_weight_analyze/0.7_0.1_0.2/au_125257.xlsx","au_125257")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HYPERLINK("./new_k5/query_cmdrels_weight_analyze/0.7_0.1_0.2/au_126153.xlsx","au_126153")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0.5</v>
      </c>
      <c r="F19">
        <v>0.45833333333333331</v>
      </c>
      <c r="G19">
        <v>0.5</v>
      </c>
    </row>
    <row r="20" spans="1:7" x14ac:dyDescent="0.15">
      <c r="A20" t="str">
        <f>HYPERLINK("./new_k5/query_cmdrels_weight_analyze/0.7_0.1_0.2/au_127326.xlsx","au_127326")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HYPERLINK("./new_k5/query_cmdrels_weight_analyze/0.7_0.1_0.2/au_128463.xlsx","au_128463")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HYPERLINK("./new_k5/query_cmdrels_weight_analyze/0.7_0.1_0.2/au_130393.xlsx","au_130393")</f>
        <v>au_130393</v>
      </c>
      <c r="B22">
        <v>0</v>
      </c>
      <c r="C22">
        <v>0</v>
      </c>
      <c r="D22">
        <v>0.125</v>
      </c>
      <c r="E22">
        <v>0.125</v>
      </c>
      <c r="F22">
        <v>0.125</v>
      </c>
      <c r="G22">
        <v>0.25</v>
      </c>
    </row>
    <row r="23" spans="1:7" x14ac:dyDescent="0.15">
      <c r="A23" t="str">
        <f>HYPERLINK("./new_k5/query_cmdrels_weight_analyze/0.7_0.1_0.2/au_131570.xlsx","au_131570")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HYPERLINK("./new_k5/query_cmdrels_weight_analyze/0.7_0.1_0.2/au_133318.xlsx","au_133318")</f>
        <v>au_133318</v>
      </c>
      <c r="B24">
        <v>0</v>
      </c>
      <c r="C24">
        <v>0.25</v>
      </c>
      <c r="D24">
        <v>0</v>
      </c>
      <c r="E24">
        <v>0.25</v>
      </c>
      <c r="F24">
        <v>0</v>
      </c>
      <c r="G24">
        <v>0.35</v>
      </c>
    </row>
    <row r="25" spans="1:7" x14ac:dyDescent="0.15">
      <c r="A25" t="str">
        <f>HYPERLINK("./new_k5/query_cmdrels_weight_analyze/0.7_0.1_0.2/au_133343.xlsx","au_133343")</f>
        <v>au_133343</v>
      </c>
      <c r="B25">
        <v>0</v>
      </c>
      <c r="C25">
        <v>0.33333333333333331</v>
      </c>
      <c r="D25">
        <v>0</v>
      </c>
      <c r="E25">
        <v>0.66666666666666663</v>
      </c>
      <c r="F25">
        <v>0</v>
      </c>
      <c r="G25">
        <v>0.66666666666666663</v>
      </c>
    </row>
    <row r="26" spans="1:7" x14ac:dyDescent="0.15">
      <c r="A26" t="str">
        <f>HYPERLINK("./new_k5/query_cmdrels_weight_analyze/0.7_0.1_0.2/au_133389.xlsx","au_133389")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HYPERLINK("./new_k5/query_cmdrels_weight_analyze/0.7_0.1_0.2/au_141277.xlsx","au_141277")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HYPERLINK("./new_k5/query_cmdrels_weight_analyze/0.7_0.1_0.2/au_143819.xlsx","au_143819")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HYPERLINK("./new_k5/query_cmdrels_weight_analyze/0.7_0.1_0.2/au_145935.xlsx","au_145935")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HYPERLINK("./new_k5/query_cmdrels_weight_analyze/0.7_0.1_0.2/au_147241.xlsx","au_147241")</f>
        <v>au_147241</v>
      </c>
      <c r="B30">
        <v>0</v>
      </c>
      <c r="C30">
        <v>0</v>
      </c>
      <c r="D30">
        <v>0.29166666666666657</v>
      </c>
      <c r="E30">
        <v>0.29166666666666657</v>
      </c>
      <c r="F30">
        <v>0.29166666666666657</v>
      </c>
      <c r="G30">
        <v>0.47916666666666657</v>
      </c>
    </row>
    <row r="31" spans="1:7" x14ac:dyDescent="0.15">
      <c r="A31" t="str">
        <f>HYPERLINK("./new_k5/query_cmdrels_weight_analyze/0.7_0.1_0.2/au_147800.xlsx","au_147800")</f>
        <v>au_147800</v>
      </c>
      <c r="B31">
        <v>0</v>
      </c>
      <c r="C31">
        <v>0.33333333333333331</v>
      </c>
      <c r="D31">
        <v>0.1111111111111111</v>
      </c>
      <c r="E31">
        <v>0.33333333333333331</v>
      </c>
      <c r="F31">
        <v>0.1111111111111111</v>
      </c>
      <c r="G31">
        <v>0.33333333333333331</v>
      </c>
    </row>
    <row r="32" spans="1:7" x14ac:dyDescent="0.15">
      <c r="A32" t="str">
        <f>HYPERLINK("./new_k5/query_cmdrels_weight_analyze/0.7_0.1_0.2/au_148321.xlsx","au_148321")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0.40277777777777768</v>
      </c>
    </row>
    <row r="33" spans="1:7" x14ac:dyDescent="0.15">
      <c r="A33" t="str">
        <f>HYPERLINK("./new_k5/query_cmdrels_weight_analyze/0.7_0.1_0.2/au_148638.xlsx","au_148638")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HYPERLINK("./new_k5/query_cmdrels_weight_analyze/0.7_0.1_0.2/au_151049.xlsx","au_151049")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0.33333333333333331</v>
      </c>
      <c r="F34">
        <v>0.66666666666666663</v>
      </c>
      <c r="G34">
        <v>0.5</v>
      </c>
    </row>
    <row r="35" spans="1:7" x14ac:dyDescent="0.15">
      <c r="A35" t="str">
        <f>HYPERLINK("./new_k5/query_cmdrels_weight_analyze/0.7_0.1_0.2/au_151941.xlsx","au_151941")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HYPERLINK("./new_k5/query_cmdrels_weight_analyze/0.7_0.1_0.2/au_152297.xlsx","au_152297")</f>
        <v>au_152297</v>
      </c>
      <c r="B36">
        <v>0</v>
      </c>
      <c r="C36">
        <v>0</v>
      </c>
      <c r="D36">
        <v>7.1428571428571425E-2</v>
      </c>
      <c r="E36">
        <v>0.16666666666666671</v>
      </c>
      <c r="F36">
        <v>7.1428571428571425E-2</v>
      </c>
      <c r="G36">
        <v>0.25238095238095237</v>
      </c>
    </row>
    <row r="37" spans="1:7" x14ac:dyDescent="0.15">
      <c r="A37" t="str">
        <f>HYPERLINK("./new_k5/query_cmdrels_weight_analyze/0.7_0.1_0.2/au_153976.xlsx","au_153976")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0.27777777777777768</v>
      </c>
      <c r="F37">
        <v>0.33333333333333331</v>
      </c>
      <c r="G37">
        <v>0.27777777777777768</v>
      </c>
    </row>
    <row r="38" spans="1:7" x14ac:dyDescent="0.15">
      <c r="A38" t="str">
        <f>HYPERLINK("./new_k5/query_cmdrels_weight_analyze/0.7_0.1_0.2/au_154431.xlsx","au_154431")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HYPERLINK("./new_k5/query_cmdrels_weight_analyze/0.7_0.1_0.2/au_159708.xlsx","au_159708")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0.33333333333333331</v>
      </c>
      <c r="F39">
        <v>0.33333333333333331</v>
      </c>
      <c r="G39">
        <v>0.33333333333333331</v>
      </c>
    </row>
    <row r="40" spans="1:7" x14ac:dyDescent="0.15">
      <c r="A40" t="str">
        <f>HYPERLINK("./new_k5/query_cmdrels_weight_analyze/0.7_0.1_0.2/au_160869.xlsx","au_160869")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HYPERLINK("./new_k5/query_cmdrels_weight_analyze/0.7_0.1_0.2/au_161313.xlsx","au_161313")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</v>
      </c>
    </row>
    <row r="42" spans="1:7" x14ac:dyDescent="0.15">
      <c r="A42" t="str">
        <f>HYPERLINK("./new_k5/query_cmdrels_weight_analyze/0.7_0.1_0.2/au_162075.xlsx","au_162075")</f>
        <v>au_162075</v>
      </c>
      <c r="B42">
        <v>0.25</v>
      </c>
      <c r="C42">
        <v>0.25</v>
      </c>
      <c r="D42">
        <v>0.5</v>
      </c>
      <c r="E42">
        <v>0.5</v>
      </c>
      <c r="F42">
        <v>0.5</v>
      </c>
      <c r="G42">
        <v>0.5</v>
      </c>
    </row>
    <row r="43" spans="1:7" x14ac:dyDescent="0.15">
      <c r="A43" t="str">
        <f>HYPERLINK("./new_k5/query_cmdrels_weight_analyze/0.7_0.1_0.2/au_16277.xlsx","au_16277")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0.66666666666666663</v>
      </c>
    </row>
    <row r="44" spans="1:7" x14ac:dyDescent="0.15">
      <c r="A44" t="str">
        <f>HYPERLINK("./new_k5/query_cmdrels_weight_analyze/0.7_0.1_0.2/au_163155.xlsx","au_163155")</f>
        <v>au_163155</v>
      </c>
      <c r="B44">
        <v>0.125</v>
      </c>
      <c r="C44">
        <v>0.125</v>
      </c>
      <c r="D44">
        <v>0.375</v>
      </c>
      <c r="E44">
        <v>0.25</v>
      </c>
      <c r="F44">
        <v>0.5</v>
      </c>
      <c r="G44">
        <v>0.44374999999999998</v>
      </c>
    </row>
    <row r="45" spans="1:7" x14ac:dyDescent="0.15">
      <c r="A45" t="str">
        <f>HYPERLINK("./new_k5/query_cmdrels_weight_analyze/0.7_0.1_0.2/au_164473.xlsx","au_164473")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HYPERLINK("./new_k5/query_cmdrels_weight_analyze/0.7_0.1_0.2/au_16584.xlsx","au_16584")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9.0909090909090912E-2</v>
      </c>
      <c r="F46">
        <v>0.13636363636363641</v>
      </c>
      <c r="G46">
        <v>9.0909090909090912E-2</v>
      </c>
    </row>
    <row r="47" spans="1:7" x14ac:dyDescent="0.15">
      <c r="A47" t="str">
        <f>HYPERLINK("./new_k5/query_cmdrels_weight_analyze/0.7_0.1_0.2/au_166420.xlsx","au_166420")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HYPERLINK("./new_k5/query_cmdrels_weight_analyze/0.7_0.1_0.2/au_169473.xlsx","au_169473")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0.33333333333333331</v>
      </c>
      <c r="F48">
        <v>0.43333333333333329</v>
      </c>
      <c r="G48">
        <v>0.43333333333333329</v>
      </c>
    </row>
    <row r="49" spans="1:7" x14ac:dyDescent="0.15">
      <c r="A49" t="str">
        <f>HYPERLINK("./new_k5/query_cmdrels_weight_analyze/0.7_0.1_0.2/au_169516.xlsx","au_169516")</f>
        <v>au_169516</v>
      </c>
      <c r="B49">
        <v>0.25</v>
      </c>
      <c r="C49">
        <v>0.25</v>
      </c>
      <c r="D49">
        <v>0.25</v>
      </c>
      <c r="E49">
        <v>0.41666666666666657</v>
      </c>
      <c r="F49">
        <v>0.25</v>
      </c>
      <c r="G49">
        <v>0.41666666666666657</v>
      </c>
    </row>
    <row r="50" spans="1:7" x14ac:dyDescent="0.15">
      <c r="A50" t="str">
        <f>HYPERLINK("./new_k5/query_cmdrels_weight_analyze/0.7_0.1_0.2/au_174292.xlsx","au_174292")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HYPERLINK("./new_k5/query_cmdrels_weight_analyze/0.7_0.1_0.2/au_178481.xlsx","au_178481")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HYPERLINK("./new_k5/query_cmdrels_weight_analyze/0.7_0.1_0.2/au_180925.xlsx","au_180925")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HYPERLINK("./new_k5/query_cmdrels_weight_analyze/0.7_0.1_0.2/au_187888.xlsx","au_187888")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HYPERLINK("./new_k5/query_cmdrels_weight_analyze/0.7_0.1_0.2/au_191390.xlsx","au_191390")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HYPERLINK("./new_k5/query_cmdrels_weight_analyze/0.7_0.1_0.2/au_192798.xlsx","au_192798")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HYPERLINK("./new_k5/query_cmdrels_weight_analyze/0.7_0.1_0.2/au_201775.xlsx","au_201775")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0.55555555555555547</v>
      </c>
      <c r="F56">
        <v>0.66666666666666663</v>
      </c>
      <c r="G56">
        <v>0.80555555555555547</v>
      </c>
    </row>
    <row r="57" spans="1:7" x14ac:dyDescent="0.15">
      <c r="A57" t="str">
        <f>HYPERLINK("./new_k5/query_cmdrels_weight_analyze/0.7_0.1_0.2/au_204166.xlsx","au_204166")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HYPERLINK("./new_k5/query_cmdrels_weight_analyze/0.7_0.1_0.2/au_207447.xlsx","au_207447")</f>
        <v>au_207447</v>
      </c>
      <c r="B58">
        <v>0.33333333333333331</v>
      </c>
      <c r="C58">
        <v>0.33333333333333331</v>
      </c>
      <c r="D58">
        <v>0.33333333333333331</v>
      </c>
      <c r="E58">
        <v>0.33333333333333331</v>
      </c>
      <c r="F58">
        <v>0.33333333333333331</v>
      </c>
      <c r="G58">
        <v>0.5</v>
      </c>
    </row>
    <row r="59" spans="1:7" x14ac:dyDescent="0.15">
      <c r="A59" t="str">
        <f>HYPERLINK("./new_k5/query_cmdrels_weight_analyze/0.7_0.1_0.2/au_210680.xlsx","au_210680")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HYPERLINK("./new_k5/query_cmdrels_weight_analyze/0.7_0.1_0.2/au_214246.xlsx","au_214246")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HYPERLINK("./new_k5/query_cmdrels_weight_analyze/0.7_0.1_0.2/au_214643.xlsx","au_214643")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HYPERLINK("./new_k5/query_cmdrels_weight_analyze/0.7_0.1_0.2/au_2194.xlsx","au_2194")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HYPERLINK("./new_k5/query_cmdrels_weight_analyze/0.7_0.1_0.2/au_221962.xlsx","au_221962")</f>
        <v>au_221962</v>
      </c>
      <c r="B63">
        <v>0</v>
      </c>
      <c r="C63">
        <v>0</v>
      </c>
      <c r="D63">
        <v>5.5555555555555552E-2</v>
      </c>
      <c r="E63">
        <v>8.3333333333333329E-2</v>
      </c>
      <c r="F63">
        <v>0.1388888888888889</v>
      </c>
      <c r="G63">
        <v>0.26666666666666672</v>
      </c>
    </row>
    <row r="64" spans="1:7" x14ac:dyDescent="0.15">
      <c r="A64" t="str">
        <f>HYPERLINK("./new_k5/query_cmdrels_weight_analyze/0.7_0.1_0.2/au_22608.xlsx","au_22608")</f>
        <v>au_22608</v>
      </c>
      <c r="B64">
        <v>0.33333333333333331</v>
      </c>
      <c r="C64">
        <v>0</v>
      </c>
      <c r="D64">
        <v>0.33333333333333331</v>
      </c>
      <c r="E64">
        <v>0.16666666666666671</v>
      </c>
      <c r="F64">
        <v>0.33333333333333331</v>
      </c>
      <c r="G64">
        <v>0.33333333333333331</v>
      </c>
    </row>
    <row r="65" spans="1:7" x14ac:dyDescent="0.15">
      <c r="A65" t="str">
        <f>HYPERLINK("./new_k5/query_cmdrels_weight_analyze/0.7_0.1_0.2/au_230698.xlsx","au_230698")</f>
        <v>au_230698</v>
      </c>
      <c r="B65">
        <v>0.125</v>
      </c>
      <c r="C65">
        <v>0.125</v>
      </c>
      <c r="D65">
        <v>0.25</v>
      </c>
      <c r="E65">
        <v>0.20833333333333329</v>
      </c>
      <c r="F65">
        <v>0.32500000000000001</v>
      </c>
      <c r="G65">
        <v>0.30208333333333331</v>
      </c>
    </row>
    <row r="66" spans="1:7" x14ac:dyDescent="0.15">
      <c r="A66" t="str">
        <f>HYPERLINK("./new_k5/query_cmdrels_weight_analyze/0.7_0.1_0.2/au_232442.xlsx","au_232442")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HYPERLINK("./new_k5/query_cmdrels_weight_analyze/0.7_0.1_0.2/au_233378.xlsx","au_233378")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HYPERLINK("./new_k5/query_cmdrels_weight_analyze/0.7_0.1_0.2/au_24027.xlsx","au_24027")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0.43333333333333329</v>
      </c>
    </row>
    <row r="69" spans="1:7" x14ac:dyDescent="0.15">
      <c r="A69" t="str">
        <f>HYPERLINK("./new_k5/query_cmdrels_weight_analyze/0.7_0.1_0.2/au_246647.xlsx","au_246647")</f>
        <v>au_246647</v>
      </c>
      <c r="B69">
        <v>0.125</v>
      </c>
      <c r="C69">
        <v>0.125</v>
      </c>
      <c r="D69">
        <v>0.375</v>
      </c>
      <c r="E69">
        <v>0.25</v>
      </c>
      <c r="F69">
        <v>0.47499999999999998</v>
      </c>
      <c r="G69">
        <v>0.32500000000000001</v>
      </c>
    </row>
    <row r="70" spans="1:7" x14ac:dyDescent="0.15">
      <c r="A70" t="str">
        <f>HYPERLINK("./new_k5/query_cmdrels_weight_analyze/0.7_0.1_0.2/au_254424.xlsx","au_254424")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HYPERLINK("./new_k5/query_cmdrels_weight_analyze/0.7_0.1_0.2/au_255890.xlsx","au_255890")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HYPERLINK("./new_k5/query_cmdrels_weight_analyze/0.7_0.1_0.2/au_257248.xlsx","au_257248")</f>
        <v>au_257248</v>
      </c>
      <c r="B72">
        <v>0</v>
      </c>
      <c r="C72">
        <v>0.14285714285714279</v>
      </c>
      <c r="D72">
        <v>0.16666666666666671</v>
      </c>
      <c r="E72">
        <v>0.23809523809523811</v>
      </c>
      <c r="F72">
        <v>0.25238095238095237</v>
      </c>
      <c r="G72">
        <v>0.32380952380952382</v>
      </c>
    </row>
    <row r="73" spans="1:7" x14ac:dyDescent="0.15">
      <c r="A73" t="str">
        <f>HYPERLINK("./new_k5/query_cmdrels_weight_analyze/0.7_0.1_0.2/au_259354.xlsx","au_259354")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0.42857142857142849</v>
      </c>
    </row>
    <row r="74" spans="1:7" x14ac:dyDescent="0.15">
      <c r="A74" t="str">
        <f>HYPERLINK("./new_k5/query_cmdrels_weight_analyze/0.7_0.1_0.2/au_263378.xlsx","au_263378")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0.625</v>
      </c>
    </row>
    <row r="75" spans="1:7" x14ac:dyDescent="0.15">
      <c r="A75" t="str">
        <f>HYPERLINK("./new_k5/query_cmdrels_weight_analyze/0.7_0.1_0.2/au_264215.xlsx","au_264215")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HYPERLINK("./new_k5/query_cmdrels_weight_analyze/0.7_0.1_0.2/au_265176.xlsx","au_265176")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HYPERLINK("./new_k5/query_cmdrels_weight_analyze/0.7_0.1_0.2/au_275704.xlsx","au_275704")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HYPERLINK("./new_k5/query_cmdrels_weight_analyze/0.7_0.1_0.2/au_276669.xlsx","au_276669")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HYPERLINK("./new_k5/query_cmdrels_weight_analyze/0.7_0.1_0.2/au_277565.xlsx","au_277565")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HYPERLINK("./new_k5/query_cmdrels_weight_analyze/0.7_0.1_0.2/au_278403.xlsx","au_278403")</f>
        <v>au_278403</v>
      </c>
      <c r="B80">
        <v>0</v>
      </c>
      <c r="C80">
        <v>0</v>
      </c>
      <c r="D80">
        <v>8.3333333333333329E-2</v>
      </c>
      <c r="E80">
        <v>0.125</v>
      </c>
      <c r="F80">
        <v>0.20833333333333329</v>
      </c>
      <c r="G80">
        <v>0.25</v>
      </c>
    </row>
    <row r="81" spans="1:7" x14ac:dyDescent="0.15">
      <c r="A81" t="str">
        <f>HYPERLINK("./new_k5/query_cmdrels_weight_analyze/0.7_0.1_0.2/au_28039.xlsx","au_28039")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HYPERLINK("./new_k5/query_cmdrels_weight_analyze/0.7_0.1_0.2/au_281509.xlsx","au_281509")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HYPERLINK("./new_k5/query_cmdrels_weight_analyze/0.7_0.1_0.2/au_282806.xlsx","au_282806")</f>
        <v>au_282806</v>
      </c>
      <c r="B83">
        <v>0</v>
      </c>
      <c r="C83">
        <v>0.33333333333333331</v>
      </c>
      <c r="D83">
        <v>0.38888888888888878</v>
      </c>
      <c r="E83">
        <v>0.33333333333333331</v>
      </c>
      <c r="F83">
        <v>0.38888888888888878</v>
      </c>
      <c r="G83">
        <v>0.70000000000000007</v>
      </c>
    </row>
    <row r="84" spans="1:7" x14ac:dyDescent="0.15">
      <c r="A84" t="str">
        <f>HYPERLINK("./new_k5/query_cmdrels_weight_analyze/0.7_0.1_0.2/au_283559.xlsx","au_283559")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HYPERLINK("./new_k5/query_cmdrels_weight_analyze/0.7_0.1_0.2/au_285539.xlsx","au_285539")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HYPERLINK("./new_k5/query_cmdrels_weight_analyze/0.7_0.1_0.2/au_287532.xlsx","au_287532")</f>
        <v>au_287532</v>
      </c>
      <c r="B86">
        <v>0</v>
      </c>
      <c r="C86">
        <v>0</v>
      </c>
      <c r="D86">
        <v>0</v>
      </c>
      <c r="E86">
        <v>8.3333333333333329E-2</v>
      </c>
      <c r="F86">
        <v>0</v>
      </c>
      <c r="G86">
        <v>8.3333333333333329E-2</v>
      </c>
    </row>
    <row r="87" spans="1:7" x14ac:dyDescent="0.15">
      <c r="A87" t="str">
        <f>HYPERLINK("./new_k5/query_cmdrels_weight_analyze/0.7_0.1_0.2/au_294257.xlsx","au_294257")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HYPERLINK("./new_k5/query_cmdrels_weight_analyze/0.7_0.1_0.2/au_296155.xlsx","au_296155")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HYPERLINK("./new_k5/query_cmdrels_weight_analyze/0.7_0.1_0.2/au_299975.xlsx","au_299975")</f>
        <v>au_299975</v>
      </c>
      <c r="B89">
        <v>0.25</v>
      </c>
      <c r="C89">
        <v>0</v>
      </c>
      <c r="D89">
        <v>0.5</v>
      </c>
      <c r="E89">
        <v>8.3333333333333329E-2</v>
      </c>
      <c r="F89">
        <v>0.6875</v>
      </c>
      <c r="G89">
        <v>8.3333333333333329E-2</v>
      </c>
    </row>
    <row r="90" spans="1:7" x14ac:dyDescent="0.15">
      <c r="A90" t="str">
        <f>HYPERLINK("./new_k5/query_cmdrels_weight_analyze/0.7_0.1_0.2/au_301096.xlsx","au_301096")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HYPERLINK("./new_k5/query_cmdrels_weight_analyze/0.7_0.1_0.2/au_303593.xlsx","au_303593")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HYPERLINK("./new_k5/query_cmdrels_weight_analyze/0.7_0.1_0.2/au_303849.xlsx","au_303849")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HYPERLINK("./new_k5/query_cmdrels_weight_analyze/0.7_0.1_0.2/au_307541.xlsx","au_307541")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HYPERLINK("./new_k5/query_cmdrels_weight_analyze/0.7_0.1_0.2/au_307688.xlsx","au_307688")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HYPERLINK("./new_k5/query_cmdrels_weight_analyze/0.7_0.1_0.2/au_309047.xlsx","au_309047")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HYPERLINK("./new_k5/query_cmdrels_weight_analyze/0.7_0.1_0.2/au_311558.xlsx","au_311558")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0.56666666666666665</v>
      </c>
    </row>
    <row r="97" spans="1:7" x14ac:dyDescent="0.15">
      <c r="A97" t="str">
        <f>HYPERLINK("./new_k5/query_cmdrels_weight_analyze/0.7_0.1_0.2/au_318973.xlsx","au_318973")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HYPERLINK("./new_k5/query_cmdrels_weight_analyze/0.7_0.1_0.2/au_3205.xlsx","au_3205")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HYPERLINK("./new_k5/query_cmdrels_weight_analyze/0.7_0.1_0.2/au_323131.xlsx","au_323131")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HYPERLINK("./new_k5/query_cmdrels_weight_analyze/0.7_0.1_0.2/au_323392.xlsx","au_323392")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HYPERLINK("./new_k5/query_cmdrels_weight_analyze/0.7_0.1_0.2/au_325368.xlsx","au_325368")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HYPERLINK("./new_k5/query_cmdrels_weight_analyze/0.7_0.1_0.2/au_328162.xlsx","au_328162")</f>
        <v>au_328162</v>
      </c>
      <c r="B102">
        <v>0.33333333333333331</v>
      </c>
      <c r="C102">
        <v>0.33333333333333331</v>
      </c>
      <c r="D102">
        <v>1</v>
      </c>
      <c r="E102">
        <v>0.66666666666666663</v>
      </c>
      <c r="F102">
        <v>1</v>
      </c>
      <c r="G102">
        <v>0.8666666666666667</v>
      </c>
    </row>
    <row r="103" spans="1:7" x14ac:dyDescent="0.15">
      <c r="A103" t="str">
        <f>HYPERLINK("./new_k5/query_cmdrels_weight_analyze/0.7_0.1_0.2/au_330148.xlsx","au_330148")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HYPERLINK("./new_k5/query_cmdrels_weight_analyze/0.7_0.1_0.2/au_332315.xlsx","au_332315")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HYPERLINK("./new_k5/query_cmdrels_weight_analyze/0.7_0.1_0.2/au_334081.xlsx","au_334081")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HYPERLINK("./new_k5/query_cmdrels_weight_analyze/0.7_0.1_0.2/au_34077.xlsx","au_34077")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0.33333333333333331</v>
      </c>
      <c r="F106">
        <v>0.33333333333333331</v>
      </c>
      <c r="G106">
        <v>0.59166666666666667</v>
      </c>
    </row>
    <row r="107" spans="1:7" x14ac:dyDescent="0.15">
      <c r="A107" t="str">
        <f>HYPERLINK("./new_k5/query_cmdrels_weight_analyze/0.7_0.1_0.2/au_341428.xlsx","au_341428")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0.42857142857142849</v>
      </c>
      <c r="F107">
        <v>0.5714285714285714</v>
      </c>
      <c r="G107">
        <v>0.54285714285714282</v>
      </c>
    </row>
    <row r="108" spans="1:7" x14ac:dyDescent="0.15">
      <c r="A108" t="str">
        <f>HYPERLINK("./new_k5/query_cmdrels_weight_analyze/0.7_0.1_0.2/au_341584.xlsx","au_341584")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HYPERLINK("./new_k5/query_cmdrels_weight_analyze/0.7_0.1_0.2/au_346864.xlsx","au_346864")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0.2857142857142857</v>
      </c>
      <c r="F109">
        <v>0.23809523809523811</v>
      </c>
      <c r="G109">
        <v>0.39285714285714279</v>
      </c>
    </row>
    <row r="110" spans="1:7" x14ac:dyDescent="0.15">
      <c r="A110" t="str">
        <f>HYPERLINK("./new_k5/query_cmdrels_weight_analyze/0.7_0.1_0.2/au_351765.xlsx","au_351765")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0.7</v>
      </c>
    </row>
    <row r="111" spans="1:7" x14ac:dyDescent="0.15">
      <c r="A111" t="str">
        <f>HYPERLINK("./new_k5/query_cmdrels_weight_analyze/0.7_0.1_0.2/au_35922.xlsx","au_35922")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HYPERLINK("./new_k5/query_cmdrels_weight_analyze/0.7_0.1_0.2/au_359856.xlsx","au_359856")</f>
        <v>au_359856</v>
      </c>
      <c r="B112">
        <v>0.25</v>
      </c>
      <c r="C112">
        <v>0.25</v>
      </c>
      <c r="D112">
        <v>0.75</v>
      </c>
      <c r="E112">
        <v>0.5</v>
      </c>
      <c r="F112">
        <v>0.95</v>
      </c>
      <c r="G112">
        <v>0.5</v>
      </c>
    </row>
    <row r="113" spans="1:7" x14ac:dyDescent="0.15">
      <c r="A113" t="str">
        <f>HYPERLINK("./new_k5/query_cmdrels_weight_analyze/0.7_0.1_0.2/au_360423.xlsx","au_360423")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HYPERLINK("./new_k5/query_cmdrels_weight_analyze/0.7_0.1_0.2/au_36287.xlsx","au_36287")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HYPERLINK("./new_k5/query_cmdrels_weight_analyze/0.7_0.1_0.2/au_366742.xlsx","au_366742")</f>
        <v>au_366742</v>
      </c>
      <c r="B115">
        <v>0</v>
      </c>
      <c r="C115">
        <v>0</v>
      </c>
      <c r="D115">
        <v>0</v>
      </c>
      <c r="E115">
        <v>8.3333333333333329E-2</v>
      </c>
      <c r="F115">
        <v>0</v>
      </c>
      <c r="G115">
        <v>0.20833333333333329</v>
      </c>
    </row>
    <row r="116" spans="1:7" x14ac:dyDescent="0.15">
      <c r="A116" t="str">
        <f>HYPERLINK("./new_k5/query_cmdrels_weight_analyze/0.7_0.1_0.2/au_377937.xlsx","au_377937")</f>
        <v>au_377937</v>
      </c>
      <c r="B116">
        <v>0.25</v>
      </c>
      <c r="C116">
        <v>0.25</v>
      </c>
      <c r="D116">
        <v>0.5</v>
      </c>
      <c r="E116">
        <v>0.75</v>
      </c>
      <c r="F116">
        <v>0.5</v>
      </c>
      <c r="G116">
        <v>0.75</v>
      </c>
    </row>
    <row r="117" spans="1:7" x14ac:dyDescent="0.15">
      <c r="A117" t="str">
        <f>HYPERLINK("./new_k5/query_cmdrels_weight_analyze/0.7_0.1_0.2/au_383997.xlsx","au_383997")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0.42857142857142849</v>
      </c>
      <c r="F117">
        <v>0.2857142857142857</v>
      </c>
      <c r="G117">
        <v>0.54285714285714282</v>
      </c>
    </row>
    <row r="118" spans="1:7" x14ac:dyDescent="0.15">
      <c r="A118" t="str">
        <f>HYPERLINK("./new_k5/query_cmdrels_weight_analyze/0.7_0.1_0.2/au_3883.xlsx","au_3883")</f>
        <v>au_3883</v>
      </c>
      <c r="B118">
        <v>0.25</v>
      </c>
      <c r="C118">
        <v>0.25</v>
      </c>
      <c r="D118">
        <v>0.25</v>
      </c>
      <c r="E118">
        <v>0.5</v>
      </c>
      <c r="F118">
        <v>0.375</v>
      </c>
      <c r="G118">
        <v>0.65</v>
      </c>
    </row>
    <row r="119" spans="1:7" x14ac:dyDescent="0.15">
      <c r="A119" t="str">
        <f>HYPERLINK("./new_k5/query_cmdrels_weight_analyze/0.7_0.1_0.2/au_396883.xlsx","au_396883")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HYPERLINK("./new_k5/query_cmdrels_weight_analyze/0.7_0.1_0.2/au_39760.xlsx","au_39760")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HYPERLINK("./new_k5/query_cmdrels_weight_analyze/0.7_0.1_0.2/au_398818.xlsx","au_398818")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HYPERLINK("./new_k5/query_cmdrels_weight_analyze/0.7_0.1_0.2/au_400807.xlsx","au_400807")</f>
        <v>au_400807</v>
      </c>
      <c r="B122">
        <v>0</v>
      </c>
      <c r="C122">
        <v>0.33333333333333331</v>
      </c>
      <c r="D122">
        <v>0.16666666666666671</v>
      </c>
      <c r="E122">
        <v>1</v>
      </c>
      <c r="F122">
        <v>0.16666666666666671</v>
      </c>
      <c r="G122">
        <v>1</v>
      </c>
    </row>
    <row r="123" spans="1:7" x14ac:dyDescent="0.15">
      <c r="A123" t="str">
        <f>HYPERLINK("./new_k5/query_cmdrels_weight_analyze/0.7_0.1_0.2/au_408611.xlsx","au_408611")</f>
        <v>au_408611</v>
      </c>
      <c r="B123">
        <v>0.33333333333333331</v>
      </c>
      <c r="C123">
        <v>0</v>
      </c>
      <c r="D123">
        <v>0.33333333333333331</v>
      </c>
      <c r="E123">
        <v>0.16666666666666671</v>
      </c>
      <c r="F123">
        <v>0.33333333333333331</v>
      </c>
      <c r="G123">
        <v>0.16666666666666671</v>
      </c>
    </row>
    <row r="124" spans="1:7" x14ac:dyDescent="0.15">
      <c r="A124" t="str">
        <f>HYPERLINK("./new_k5/query_cmdrels_weight_analyze/0.7_0.1_0.2/au_414737.xlsx","au_414737")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HYPERLINK("./new_k5/query_cmdrels_weight_analyze/0.7_0.1_0.2/au_420722.xlsx","au_420722")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0.55555555555555547</v>
      </c>
      <c r="F125">
        <v>0.66666666666666663</v>
      </c>
      <c r="G125">
        <v>0.55555555555555547</v>
      </c>
    </row>
    <row r="126" spans="1:7" x14ac:dyDescent="0.15">
      <c r="A126" t="str">
        <f>HYPERLINK("./new_k5/query_cmdrels_weight_analyze/0.7_0.1_0.2/au_423942.xlsx","au_423942")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HYPERLINK("./new_k5/query_cmdrels_weight_analyze/0.7_0.1_0.2/au_430382.xlsx","au_430382")</f>
        <v>au_430382</v>
      </c>
      <c r="B127">
        <v>0</v>
      </c>
      <c r="C127">
        <v>0.25</v>
      </c>
      <c r="D127">
        <v>0.29166666666666657</v>
      </c>
      <c r="E127">
        <v>0.41666666666666657</v>
      </c>
      <c r="F127">
        <v>0.29166666666666657</v>
      </c>
      <c r="G127">
        <v>0.41666666666666657</v>
      </c>
    </row>
    <row r="128" spans="1:7" x14ac:dyDescent="0.15">
      <c r="A128" t="str">
        <f>HYPERLINK("./new_k5/query_cmdrels_weight_analyze/0.7_0.1_0.2/au_432836.xlsx","au_432836")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HYPERLINK("./new_k5/query_cmdrels_weight_analyze/0.7_0.1_0.2/au_440326.xlsx","au_440326")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HYPERLINK("./new_k5/query_cmdrels_weight_analyze/0.7_0.1_0.2/au_442914.xlsx","au_442914")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HYPERLINK("./new_k5/query_cmdrels_weight_analyze/0.7_0.1_0.2/au_443227.xlsx","au_443227")</f>
        <v>au_443227</v>
      </c>
      <c r="B131">
        <v>0.5</v>
      </c>
      <c r="C131">
        <v>0</v>
      </c>
      <c r="D131">
        <v>0.5</v>
      </c>
      <c r="E131">
        <v>0</v>
      </c>
      <c r="F131">
        <v>0.5</v>
      </c>
      <c r="G131">
        <v>0</v>
      </c>
    </row>
    <row r="132" spans="1:7" x14ac:dyDescent="0.15">
      <c r="A132" t="str">
        <f>HYPERLINK("./new_k5/query_cmdrels_weight_analyze/0.7_0.1_0.2/au_44534.xlsx","au_44534")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HYPERLINK("./new_k5/query_cmdrels_weight_analyze/0.7_0.1_0.2/au_451805.xlsx","au_451805")</f>
        <v>au_451805</v>
      </c>
      <c r="B133">
        <v>0.33333333333333331</v>
      </c>
      <c r="C133">
        <v>0</v>
      </c>
      <c r="D133">
        <v>0.33333333333333331</v>
      </c>
      <c r="E133">
        <v>0.1111111111111111</v>
      </c>
      <c r="F133">
        <v>0.33333333333333331</v>
      </c>
      <c r="G133">
        <v>0.1111111111111111</v>
      </c>
    </row>
    <row r="134" spans="1:7" x14ac:dyDescent="0.15">
      <c r="A134" t="str">
        <f>HYPERLINK("./new_k5/query_cmdrels_weight_analyze/0.7_0.1_0.2/au_464264.xlsx","au_464264")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0.1466666666666667</v>
      </c>
    </row>
    <row r="135" spans="1:7" x14ac:dyDescent="0.15">
      <c r="A135" t="str">
        <f>HYPERLINK("./new_k5/query_cmdrels_weight_analyze/0.7_0.1_0.2/au_468808.xlsx","au_468808")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HYPERLINK("./new_k5/query_cmdrels_weight_analyze/0.7_0.1_0.2/au_469143.xlsx","au_469143")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HYPERLINK("./new_k5/query_cmdrels_weight_analyze/0.7_0.1_0.2/au_470237.xlsx","au_470237")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HYPERLINK("./new_k5/query_cmdrels_weight_analyze/0.7_0.1_0.2/au_473037.xlsx","au_473037")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</v>
      </c>
    </row>
    <row r="139" spans="1:7" x14ac:dyDescent="0.15">
      <c r="A139" t="str">
        <f>HYPERLINK("./new_k5/query_cmdrels_weight_analyze/0.7_0.1_0.2/au_48362.xlsx","au_48362")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HYPERLINK("./new_k5/query_cmdrels_weight_analyze/0.7_0.1_0.2/au_488435.xlsx","au_488435")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HYPERLINK("./new_k5/query_cmdrels_weight_analyze/0.7_0.1_0.2/au_493826.xlsx","au_493826")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HYPERLINK("./new_k5/query_cmdrels_weight_analyze/0.7_0.1_0.2/au_502110.xlsx","au_502110")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HYPERLINK("./new_k5/query_cmdrels_weight_analyze/0.7_0.1_0.2/au_50344.xlsx","au_50344")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HYPERLINK("./new_k5/query_cmdrels_weight_analyze/0.7_0.1_0.2/au_511467.xlsx","au_511467")</f>
        <v>au_511467</v>
      </c>
      <c r="B144">
        <v>0</v>
      </c>
      <c r="C144">
        <v>0.16666666666666671</v>
      </c>
      <c r="D144">
        <v>0.19444444444444439</v>
      </c>
      <c r="E144">
        <v>0.16666666666666671</v>
      </c>
      <c r="F144">
        <v>0.19444444444444439</v>
      </c>
      <c r="G144">
        <v>0.25</v>
      </c>
    </row>
    <row r="145" spans="1:7" x14ac:dyDescent="0.15">
      <c r="A145" t="str">
        <f>HYPERLINK("./new_k5/query_cmdrels_weight_analyze/0.7_0.1_0.2/au_513046.xlsx","au_513046")</f>
        <v>au_513046</v>
      </c>
      <c r="B145">
        <v>0.25</v>
      </c>
      <c r="C145">
        <v>0</v>
      </c>
      <c r="D145">
        <v>0.5</v>
      </c>
      <c r="E145">
        <v>0.29166666666666657</v>
      </c>
      <c r="F145">
        <v>0.5</v>
      </c>
      <c r="G145">
        <v>0.29166666666666657</v>
      </c>
    </row>
    <row r="146" spans="1:7" x14ac:dyDescent="0.15">
      <c r="A146" t="str">
        <f>HYPERLINK("./new_k5/query_cmdrels_weight_analyze/0.7_0.1_0.2/au_517354.xlsx","au_517354")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0.2857142857142857</v>
      </c>
      <c r="F146">
        <v>0.2142857142857143</v>
      </c>
      <c r="G146">
        <v>0.39285714285714279</v>
      </c>
    </row>
    <row r="147" spans="1:7" x14ac:dyDescent="0.15">
      <c r="A147" t="str">
        <f>HYPERLINK("./new_k5/query_cmdrels_weight_analyze/0.7_0.1_0.2/au_522431.xlsx","au_522431")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0.3833333333333333</v>
      </c>
    </row>
    <row r="148" spans="1:7" x14ac:dyDescent="0.15">
      <c r="A148" t="str">
        <f>HYPERLINK("./new_k5/query_cmdrels_weight_analyze/0.7_0.1_0.2/au_52773.xlsx","au_52773")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0.04</v>
      </c>
    </row>
    <row r="149" spans="1:7" x14ac:dyDescent="0.15">
      <c r="A149" t="str">
        <f>HYPERLINK("./new_k5/query_cmdrels_weight_analyze/0.7_0.1_0.2/au_528411.xlsx","au_528411")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HYPERLINK("./new_k5/query_cmdrels_weight_analyze/0.7_0.1_0.2/au_53263.xlsx","au_53263")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0.95</v>
      </c>
    </row>
    <row r="151" spans="1:7" x14ac:dyDescent="0.15">
      <c r="A151" t="str">
        <f>HYPERLINK("./new_k5/query_cmdrels_weight_analyze/0.7_0.1_0.2/au_53444.xlsx","au_53444")</f>
        <v>au_53444</v>
      </c>
      <c r="B151">
        <v>0.5</v>
      </c>
      <c r="C151">
        <v>0</v>
      </c>
      <c r="D151">
        <v>0.5</v>
      </c>
      <c r="E151">
        <v>0</v>
      </c>
      <c r="F151">
        <v>0.5</v>
      </c>
      <c r="G151">
        <v>0</v>
      </c>
    </row>
    <row r="152" spans="1:7" x14ac:dyDescent="0.15">
      <c r="A152" t="str">
        <f>HYPERLINK("./new_k5/query_cmdrels_weight_analyze/0.7_0.1_0.2/au_538208.xlsx","au_538208")</f>
        <v>au_538208</v>
      </c>
      <c r="B152">
        <v>0.125</v>
      </c>
      <c r="C152">
        <v>0.125</v>
      </c>
      <c r="D152">
        <v>0.375</v>
      </c>
      <c r="E152">
        <v>0.25</v>
      </c>
      <c r="F152">
        <v>0.5</v>
      </c>
      <c r="G152">
        <v>0.44374999999999998</v>
      </c>
    </row>
    <row r="153" spans="1:7" x14ac:dyDescent="0.15">
      <c r="A153" t="str">
        <f>HYPERLINK("./new_k5/query_cmdrels_weight_analyze/0.7_0.1_0.2/au_53822.xlsx","au_53822")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HYPERLINK("./new_k5/query_cmdrels_weight_analyze/0.7_0.1_0.2/au_539243.xlsx","au_539243")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</v>
      </c>
    </row>
    <row r="155" spans="1:7" x14ac:dyDescent="0.15">
      <c r="A155" t="str">
        <f>HYPERLINK("./new_k5/query_cmdrels_weight_analyze/0.7_0.1_0.2/au_558280.xlsx","au_558280")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HYPERLINK("./new_k5/query_cmdrels_weight_analyze/0.7_0.1_0.2/au_558669.xlsx","au_558669")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HYPERLINK("./new_k5/query_cmdrels_weight_analyze/0.7_0.1_0.2/au_55868.xlsx","au_55868")</f>
        <v>au_55868</v>
      </c>
      <c r="B157">
        <v>0</v>
      </c>
      <c r="C157">
        <v>0.1111111111111111</v>
      </c>
      <c r="D157">
        <v>5.5555555555555552E-2</v>
      </c>
      <c r="E157">
        <v>0.1851851851851852</v>
      </c>
      <c r="F157">
        <v>0.1111111111111111</v>
      </c>
      <c r="G157">
        <v>0.3574074074074074</v>
      </c>
    </row>
    <row r="158" spans="1:7" x14ac:dyDescent="0.15">
      <c r="A158" t="str">
        <f>HYPERLINK("./new_k5/query_cmdrels_weight_analyze/0.7_0.1_0.2/au_561.xlsx","au_561")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0.5</v>
      </c>
    </row>
    <row r="159" spans="1:7" x14ac:dyDescent="0.15">
      <c r="A159" t="str">
        <f>HYPERLINK("./new_k5/query_cmdrels_weight_analyze/0.7_0.1_0.2/au_564567.xlsx","au_564567")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HYPERLINK("./new_k5/query_cmdrels_weight_analyze/0.7_0.1_0.2/au_57994.xlsx","au_57994")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0.54285714285714282</v>
      </c>
    </row>
    <row r="161" spans="1:7" x14ac:dyDescent="0.15">
      <c r="A161" t="str">
        <f>HYPERLINK("./new_k5/query_cmdrels_weight_analyze/0.7_0.1_0.2/au_589210.xlsx","au_589210")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0.35</v>
      </c>
    </row>
    <row r="162" spans="1:7" x14ac:dyDescent="0.15">
      <c r="A162" t="str">
        <f>HYPERLINK("./new_k5/query_cmdrels_weight_analyze/0.7_0.1_0.2/au_5911.xlsx","au_5911")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HYPERLINK("./new_k5/query_cmdrels_weight_analyze/0.7_0.1_0.2/au_59356.xlsx","au_59356")</f>
        <v>au_59356</v>
      </c>
      <c r="B163">
        <v>0</v>
      </c>
      <c r="C163">
        <v>0</v>
      </c>
      <c r="D163">
        <v>0.16666666666666671</v>
      </c>
      <c r="E163">
        <v>0.16666666666666671</v>
      </c>
      <c r="F163">
        <v>0.16666666666666671</v>
      </c>
      <c r="G163">
        <v>0.16666666666666671</v>
      </c>
    </row>
    <row r="164" spans="1:7" x14ac:dyDescent="0.15">
      <c r="A164" t="str">
        <f>HYPERLINK("./new_k5/query_cmdrels_weight_analyze/0.7_0.1_0.2/au_609850.xlsx","au_609850")</f>
        <v>au_609850</v>
      </c>
      <c r="B164">
        <v>0.5</v>
      </c>
      <c r="C164">
        <v>0</v>
      </c>
      <c r="D164">
        <v>0.5</v>
      </c>
      <c r="E164">
        <v>0.16666666666666671</v>
      </c>
      <c r="F164">
        <v>0.5</v>
      </c>
      <c r="G164">
        <v>0.16666666666666671</v>
      </c>
    </row>
    <row r="165" spans="1:7" x14ac:dyDescent="0.15">
      <c r="A165" t="str">
        <f>HYPERLINK("./new_k5/query_cmdrels_weight_analyze/0.7_0.1_0.2/au_61408.xlsx","au_61408")</f>
        <v>au_61408</v>
      </c>
      <c r="B165">
        <v>0</v>
      </c>
      <c r="C165">
        <v>0.33333333333333331</v>
      </c>
      <c r="D165">
        <v>0.16666666666666671</v>
      </c>
      <c r="E165">
        <v>0.55555555555555547</v>
      </c>
      <c r="F165">
        <v>0.16666666666666671</v>
      </c>
      <c r="G165">
        <v>0.55555555555555547</v>
      </c>
    </row>
    <row r="166" spans="1:7" x14ac:dyDescent="0.15">
      <c r="A166" t="str">
        <f>HYPERLINK("./new_k5/query_cmdrels_weight_analyze/0.7_0.1_0.2/au_617850.xlsx","au_617850")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HYPERLINK("./new_k5/query_cmdrels_weight_analyze/0.7_0.1_0.2/au_62073.xlsx","au_62073")</f>
        <v>au_62073</v>
      </c>
      <c r="B167">
        <v>0</v>
      </c>
      <c r="C167">
        <v>0.2</v>
      </c>
      <c r="D167">
        <v>0.23333333333333331</v>
      </c>
      <c r="E167">
        <v>0.4</v>
      </c>
      <c r="F167">
        <v>0.23333333333333331</v>
      </c>
      <c r="G167">
        <v>0.71</v>
      </c>
    </row>
    <row r="168" spans="1:7" x14ac:dyDescent="0.15">
      <c r="A168" t="str">
        <f>HYPERLINK("./new_k5/query_cmdrels_weight_analyze/0.7_0.1_0.2/au_620930.xlsx","au_620930")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0.48333333333333328</v>
      </c>
    </row>
    <row r="169" spans="1:7" x14ac:dyDescent="0.15">
      <c r="A169" t="str">
        <f>HYPERLINK("./new_k5/query_cmdrels_weight_analyze/0.7_0.1_0.2/au_62492.xlsx","au_62492")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HYPERLINK("./new_k5/query_cmdrels_weight_analyze/0.7_0.1_0.2/au_626078.xlsx","au_626078")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HYPERLINK("./new_k5/query_cmdrels_weight_analyze/0.7_0.1_0.2/au_636944.xlsx","au_636944")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HYPERLINK("./new_k5/query_cmdrels_weight_analyze/0.7_0.1_0.2/au_648603.xlsx","au_648603")</f>
        <v>au_648603</v>
      </c>
      <c r="B172">
        <v>0.25</v>
      </c>
      <c r="C172">
        <v>0.25</v>
      </c>
      <c r="D172">
        <v>0.25</v>
      </c>
      <c r="E172">
        <v>0.5</v>
      </c>
      <c r="F172">
        <v>0.25</v>
      </c>
      <c r="G172">
        <v>0.65</v>
      </c>
    </row>
    <row r="173" spans="1:7" x14ac:dyDescent="0.15">
      <c r="A173" t="str">
        <f>HYPERLINK("./new_k5/query_cmdrels_weight_analyze/0.7_0.1_0.2/au_65331.xlsx","au_65331")</f>
        <v>au_65331</v>
      </c>
      <c r="B173">
        <v>0</v>
      </c>
      <c r="C173">
        <v>0.16666666666666671</v>
      </c>
      <c r="D173">
        <v>8.3333333333333329E-2</v>
      </c>
      <c r="E173">
        <v>0.27777777777777768</v>
      </c>
      <c r="F173">
        <v>0.16666666666666671</v>
      </c>
      <c r="G173">
        <v>0.40277777777777768</v>
      </c>
    </row>
    <row r="174" spans="1:7" x14ac:dyDescent="0.15">
      <c r="A174" t="str">
        <f>HYPERLINK("./new_k5/query_cmdrels_weight_analyze/0.7_0.1_0.2/au_66000.xlsx","au_66000")</f>
        <v>au_66000</v>
      </c>
      <c r="B174">
        <v>0</v>
      </c>
      <c r="C174">
        <v>0.2</v>
      </c>
      <c r="D174">
        <v>0</v>
      </c>
      <c r="E174">
        <v>0.33333333333333331</v>
      </c>
      <c r="F174">
        <v>0</v>
      </c>
      <c r="G174">
        <v>0.64333333333333331</v>
      </c>
    </row>
    <row r="175" spans="1:7" x14ac:dyDescent="0.15">
      <c r="A175" t="str">
        <f>HYPERLINK("./new_k5/query_cmdrels_weight_analyze/0.7_0.1_0.2/au_660846.xlsx","au_660846")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HYPERLINK("./new_k5/query_cmdrels_weight_analyze/0.7_0.1_0.2/au_662935.xlsx","au_662935")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0.25</v>
      </c>
    </row>
    <row r="177" spans="1:7" x14ac:dyDescent="0.15">
      <c r="A177" t="str">
        <f>HYPERLINK("./new_k5/query_cmdrels_weight_analyze/0.7_0.1_0.2/au_67663.xlsx","au_67663")</f>
        <v>au_67663</v>
      </c>
      <c r="B177">
        <v>0</v>
      </c>
      <c r="C177">
        <v>0.25</v>
      </c>
      <c r="D177">
        <v>0.29166666666666657</v>
      </c>
      <c r="E177">
        <v>0.75</v>
      </c>
      <c r="F177">
        <v>0.29166666666666657</v>
      </c>
      <c r="G177">
        <v>0.75</v>
      </c>
    </row>
    <row r="178" spans="1:7" x14ac:dyDescent="0.15">
      <c r="A178" t="str">
        <f>HYPERLINK("./new_k5/query_cmdrels_weight_analyze/0.7_0.1_0.2/au_68028.xlsx","au_68028")</f>
        <v>au_68028</v>
      </c>
      <c r="B178">
        <v>0.14285714285714279</v>
      </c>
      <c r="C178">
        <v>0</v>
      </c>
      <c r="D178">
        <v>0.2857142857142857</v>
      </c>
      <c r="E178">
        <v>7.1428571428571425E-2</v>
      </c>
      <c r="F178">
        <v>0.37142857142857139</v>
      </c>
      <c r="G178">
        <v>0.12857142857142859</v>
      </c>
    </row>
    <row r="179" spans="1:7" x14ac:dyDescent="0.15">
      <c r="A179" t="str">
        <f>HYPERLINK("./new_k5/query_cmdrels_weight_analyze/0.7_0.1_0.2/au_681312.xlsx","au_681312")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0.42857142857142849</v>
      </c>
      <c r="F179">
        <v>0.42857142857142849</v>
      </c>
      <c r="G179">
        <v>0.5714285714285714</v>
      </c>
    </row>
    <row r="180" spans="1:7" x14ac:dyDescent="0.15">
      <c r="A180" t="str">
        <f>HYPERLINK("./new_k5/query_cmdrels_weight_analyze/0.7_0.1_0.2/au_686239.xlsx","au_686239")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HYPERLINK("./new_k5/query_cmdrels_weight_analyze/0.7_0.1_0.2/au_68809.xlsx","au_68809")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0.20833333333333329</v>
      </c>
    </row>
    <row r="182" spans="1:7" x14ac:dyDescent="0.15">
      <c r="A182" t="str">
        <f>HYPERLINK("./new_k5/query_cmdrels_weight_analyze/0.7_0.1_0.2/au_69556.xlsx","au_69556")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HYPERLINK("./new_k5/query_cmdrels_weight_analyze/0.7_0.1_0.2/au_698993.xlsx","au_698993")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HYPERLINK("./new_k5/query_cmdrels_weight_analyze/0.7_0.1_0.2/au_707881.xlsx","au_707881")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HYPERLINK("./new_k5/query_cmdrels_weight_analyze/0.7_0.1_0.2/au_709594.xlsx","au_709594")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HYPERLINK("./new_k5/query_cmdrels_weight_analyze/0.7_0.1_0.2/au_71309.xlsx","au_71309")</f>
        <v>au_71309</v>
      </c>
      <c r="B186">
        <v>0.125</v>
      </c>
      <c r="C186">
        <v>0</v>
      </c>
      <c r="D186">
        <v>0.20833333333333329</v>
      </c>
      <c r="E186">
        <v>0.14583333333333329</v>
      </c>
      <c r="F186">
        <v>0.20833333333333329</v>
      </c>
      <c r="G186">
        <v>0.23958333333333329</v>
      </c>
    </row>
    <row r="187" spans="1:7" x14ac:dyDescent="0.15">
      <c r="A187" t="str">
        <f>HYPERLINK("./new_k5/query_cmdrels_weight_analyze/0.7_0.1_0.2/au_7138.xlsx","au_7138")</f>
        <v>au_7138</v>
      </c>
      <c r="B187">
        <v>0.25</v>
      </c>
      <c r="C187">
        <v>0</v>
      </c>
      <c r="D187">
        <v>0.75</v>
      </c>
      <c r="E187">
        <v>8.3333333333333329E-2</v>
      </c>
      <c r="F187">
        <v>0.75</v>
      </c>
      <c r="G187">
        <v>0.20833333333333329</v>
      </c>
    </row>
    <row r="188" spans="1:7" x14ac:dyDescent="0.15">
      <c r="A188" t="str">
        <f>HYPERLINK("./new_k5/query_cmdrels_weight_analyze/0.7_0.1_0.2/au_72549.xlsx","au_72549")</f>
        <v>au_72549</v>
      </c>
      <c r="B188">
        <v>0</v>
      </c>
      <c r="C188">
        <v>0</v>
      </c>
      <c r="D188">
        <v>0</v>
      </c>
      <c r="E188">
        <v>0.125</v>
      </c>
      <c r="F188">
        <v>0</v>
      </c>
      <c r="G188">
        <v>0.125</v>
      </c>
    </row>
    <row r="189" spans="1:7" x14ac:dyDescent="0.15">
      <c r="A189" t="str">
        <f>HYPERLINK("./new_k5/query_cmdrels_weight_analyze/0.7_0.1_0.2/au_740805.xlsx","au_740805")</f>
        <v>au_740805</v>
      </c>
      <c r="B189">
        <v>0.25</v>
      </c>
      <c r="C189">
        <v>0</v>
      </c>
      <c r="D189">
        <v>0.41666666666666657</v>
      </c>
      <c r="E189">
        <v>8.3333333333333329E-2</v>
      </c>
      <c r="F189">
        <v>0.41666666666666657</v>
      </c>
      <c r="G189">
        <v>0.20833333333333329</v>
      </c>
    </row>
    <row r="190" spans="1:7" x14ac:dyDescent="0.15">
      <c r="A190" t="str">
        <f>HYPERLINK("./new_k5/query_cmdrels_weight_analyze/0.7_0.1_0.2/au_760796.xlsx","au_760796")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0.4</v>
      </c>
    </row>
    <row r="191" spans="1:7" x14ac:dyDescent="0.15">
      <c r="A191" t="str">
        <f>HYPERLINK("./new_k5/query_cmdrels_weight_analyze/0.7_0.1_0.2/au_762846.xlsx","au_762846")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0.45833333333333331</v>
      </c>
    </row>
    <row r="192" spans="1:7" x14ac:dyDescent="0.15">
      <c r="A192" t="str">
        <f>HYPERLINK("./new_k5/query_cmdrels_weight_analyze/0.7_0.1_0.2/au_767786.xlsx","au_767786")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0.6</v>
      </c>
    </row>
    <row r="193" spans="1:7" x14ac:dyDescent="0.15">
      <c r="A193" t="str">
        <f>HYPERLINK("./new_k5/query_cmdrels_weight_analyze/0.7_0.1_0.2/au_778906.xlsx","au_778906")</f>
        <v>au_778906</v>
      </c>
      <c r="B193">
        <v>0.2</v>
      </c>
      <c r="C193">
        <v>0.2</v>
      </c>
      <c r="D193">
        <v>0.33333333333333331</v>
      </c>
      <c r="E193">
        <v>0.33333333333333331</v>
      </c>
      <c r="F193">
        <v>0.33333333333333331</v>
      </c>
      <c r="G193">
        <v>0.48333333333333328</v>
      </c>
    </row>
    <row r="194" spans="1:7" x14ac:dyDescent="0.15">
      <c r="A194" t="str">
        <f>HYPERLINK("./new_k5/query_cmdrels_weight_analyze/0.7_0.1_0.2/au_818929.xlsx","au_818929")</f>
        <v>au_818929</v>
      </c>
      <c r="B194">
        <v>0</v>
      </c>
      <c r="C194">
        <v>0.2</v>
      </c>
      <c r="D194">
        <v>0</v>
      </c>
      <c r="E194">
        <v>0.33333333333333331</v>
      </c>
      <c r="F194">
        <v>0</v>
      </c>
      <c r="G194">
        <v>0.33333333333333331</v>
      </c>
    </row>
    <row r="195" spans="1:7" x14ac:dyDescent="0.15">
      <c r="A195" t="str">
        <f>HYPERLINK("./new_k5/query_cmdrels_weight_analyze/0.7_0.1_0.2/au_844876.xlsx","au_844876")</f>
        <v>au_844876</v>
      </c>
      <c r="B195">
        <v>0.5</v>
      </c>
      <c r="C195">
        <v>0.5</v>
      </c>
      <c r="D195">
        <v>0.5</v>
      </c>
      <c r="E195">
        <v>1</v>
      </c>
      <c r="F195">
        <v>0.5</v>
      </c>
      <c r="G195">
        <v>1</v>
      </c>
    </row>
    <row r="196" spans="1:7" x14ac:dyDescent="0.15">
      <c r="A196" t="str">
        <f>HYPERLINK("./new_k5/query_cmdrels_weight_analyze/0.7_0.1_0.2/au_85318.xlsx","au_85318")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0.55000000000000004</v>
      </c>
    </row>
    <row r="197" spans="1:7" x14ac:dyDescent="0.15">
      <c r="A197" t="str">
        <f>HYPERLINK("./new_k5/query_cmdrels_weight_analyze/0.7_0.1_0.2/au_854332.xlsx","au_854332")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HYPERLINK("./new_k5/query_cmdrels_weight_analyze/0.7_0.1_0.2/au_854373.xlsx","au_854373")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HYPERLINK("./new_k5/query_cmdrels_weight_analyze/0.7_0.1_0.2/au_86843.xlsx","au_86843")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HYPERLINK("./new_k5/query_cmdrels_weight_analyze/0.7_0.1_0.2/au_88108.xlsx","au_88108")</f>
        <v>au_88108</v>
      </c>
      <c r="B200">
        <v>0</v>
      </c>
      <c r="C200">
        <v>0</v>
      </c>
      <c r="D200">
        <v>0.1</v>
      </c>
      <c r="E200">
        <v>6.6666666666666666E-2</v>
      </c>
      <c r="F200">
        <v>0.1</v>
      </c>
      <c r="G200">
        <v>0.1466666666666667</v>
      </c>
    </row>
    <row r="201" spans="1:7" x14ac:dyDescent="0.15">
      <c r="A201" t="str">
        <f>HYPERLINK("./new_k5/query_cmdrels_weight_analyze/0.7_0.1_0.2/au_90214.xlsx","au_90214")</f>
        <v>au_90214</v>
      </c>
      <c r="B201">
        <v>0</v>
      </c>
      <c r="C201">
        <v>0</v>
      </c>
      <c r="D201">
        <v>0.16666666666666671</v>
      </c>
      <c r="E201">
        <v>0</v>
      </c>
      <c r="F201">
        <v>0.16666666666666671</v>
      </c>
      <c r="G201">
        <v>6.6666666666666666E-2</v>
      </c>
    </row>
    <row r="202" spans="1:7" x14ac:dyDescent="0.15">
      <c r="A202" t="str">
        <f>HYPERLINK("./new_k5/query_cmdrels_weight_analyze/0.7_0.1_0.2/au_90339.xlsx","au_90339")</f>
        <v>au_90339</v>
      </c>
      <c r="B202">
        <v>0</v>
      </c>
      <c r="C202">
        <v>0</v>
      </c>
      <c r="D202">
        <v>4.7619047619047623E-2</v>
      </c>
      <c r="E202">
        <v>4.7619047619047623E-2</v>
      </c>
      <c r="F202">
        <v>0.2047619047619047</v>
      </c>
      <c r="G202">
        <v>0.119047619047619</v>
      </c>
    </row>
    <row r="203" spans="1:7" x14ac:dyDescent="0.15">
      <c r="A203" t="str">
        <f>HYPERLINK("./new_k5/query_cmdrels_weight_analyze/0.7_0.1_0.2/au_91286.xlsx","au_91286")</f>
        <v>au_91286</v>
      </c>
      <c r="B203">
        <v>0.5</v>
      </c>
      <c r="C203">
        <v>0</v>
      </c>
      <c r="D203">
        <v>0.5</v>
      </c>
      <c r="E203">
        <v>0.16666666666666671</v>
      </c>
      <c r="F203">
        <v>0.5</v>
      </c>
      <c r="G203">
        <v>0.16666666666666671</v>
      </c>
    </row>
    <row r="204" spans="1:7" x14ac:dyDescent="0.15">
      <c r="A204" t="str">
        <f>HYPERLINK("./new_k5/query_cmdrels_weight_analyze/0.7_0.1_0.2/au_9135.xlsx","au_9135")</f>
        <v>au_9135</v>
      </c>
      <c r="B204">
        <v>0.1</v>
      </c>
      <c r="C204">
        <v>0</v>
      </c>
      <c r="D204">
        <v>0.16666666666666671</v>
      </c>
      <c r="E204">
        <v>0.1166666666666667</v>
      </c>
      <c r="F204">
        <v>0.24166666666666661</v>
      </c>
      <c r="G204">
        <v>0.17666666666666669</v>
      </c>
    </row>
    <row r="205" spans="1:7" x14ac:dyDescent="0.15">
      <c r="A205" t="str">
        <f>HYPERLINK("./new_k5/query_cmdrels_weight_analyze/0.7_0.1_0.2/au_935569.xlsx","au_935569")</f>
        <v>au_935569</v>
      </c>
      <c r="B205">
        <v>0.14285714285714279</v>
      </c>
      <c r="C205">
        <v>0.14285714285714279</v>
      </c>
      <c r="D205">
        <v>0.42857142857142849</v>
      </c>
      <c r="E205">
        <v>0.2857142857142857</v>
      </c>
      <c r="F205">
        <v>0.54285714285714282</v>
      </c>
      <c r="G205">
        <v>0.2857142857142857</v>
      </c>
    </row>
    <row r="206" spans="1:7" x14ac:dyDescent="0.15">
      <c r="A206" t="str">
        <f>HYPERLINK("./new_k5/query_cmdrels_weight_analyze/0.7_0.1_0.2/au_97936.xlsx","au_97936")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HYPERLINK("./new_k5/query_cmdrels_weight_analyze/0.7_0.1_0.2/so_10235778.xlsx","so_10235778")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HYPERLINK("./new_k5/query_cmdrels_weight_analyze/0.7_0.1_0.2/so_1045910.xlsx","so_1045910")</f>
        <v>so_1045910</v>
      </c>
      <c r="B208">
        <v>0.25</v>
      </c>
      <c r="C208">
        <v>0</v>
      </c>
      <c r="D208">
        <v>0.25</v>
      </c>
      <c r="E208">
        <v>0.29166666666666657</v>
      </c>
      <c r="F208">
        <v>0.25</v>
      </c>
      <c r="G208">
        <v>0.29166666666666657</v>
      </c>
    </row>
    <row r="209" spans="1:7" x14ac:dyDescent="0.15">
      <c r="A209" t="str">
        <f>HYPERLINK("./new_k5/query_cmdrels_weight_analyze/0.7_0.1_0.2/so_10557360.xlsx","so_10557360")</f>
        <v>so_10557360</v>
      </c>
      <c r="B209">
        <v>0</v>
      </c>
      <c r="C209">
        <v>0</v>
      </c>
      <c r="D209">
        <v>0</v>
      </c>
      <c r="E209">
        <v>6.6666666666666666E-2</v>
      </c>
      <c r="F209">
        <v>0</v>
      </c>
      <c r="G209">
        <v>6.6666666666666666E-2</v>
      </c>
    </row>
    <row r="210" spans="1:7" x14ac:dyDescent="0.15">
      <c r="A210" t="str">
        <f>HYPERLINK("./new_k5/query_cmdrels_weight_analyze/0.7_0.1_0.2/so_1058047.xlsx","so_1058047")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0.35</v>
      </c>
    </row>
    <row r="211" spans="1:7" x14ac:dyDescent="0.15">
      <c r="A211" t="str">
        <f>HYPERLINK("./new_k5/query_cmdrels_weight_analyze/0.7_0.1_0.2/so_10829402.xlsx","so_10829402")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HYPERLINK("./new_k5/query_cmdrels_weight_analyze/0.7_0.1_0.2/so_1088098.xlsx","so_1088098")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0.25</v>
      </c>
    </row>
    <row r="213" spans="1:7" x14ac:dyDescent="0.15">
      <c r="A213" t="str">
        <f>HYPERLINK("./new_k5/query_cmdrels_weight_analyze/0.7_0.1_0.2/so_10990949.xlsx","so_10990949")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0.7</v>
      </c>
    </row>
    <row r="214" spans="1:7" x14ac:dyDescent="0.15">
      <c r="A214" t="str">
        <f>HYPERLINK("./new_k5/query_cmdrels_weight_analyze/0.7_0.1_0.2/so_11211705.xlsx","so_11211705")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HYPERLINK("./new_k5/query_cmdrels_weight_analyze/0.7_0.1_0.2/so_112932.xlsx","so_112932")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HYPERLINK("./new_k5/query_cmdrels_weight_analyze/0.7_0.1_0.2/so_11392189.xlsx","so_11392189")</f>
        <v>so_11392189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6.25E-2</v>
      </c>
    </row>
    <row r="217" spans="1:7" x14ac:dyDescent="0.15">
      <c r="A217" t="str">
        <f>HYPERLINK("./new_k5/query_cmdrels_weight_analyze/0.7_0.1_0.2/so_1183183.xlsx","so_1183183")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</v>
      </c>
    </row>
    <row r="218" spans="1:7" x14ac:dyDescent="0.15">
      <c r="A218" t="str">
        <f>HYPERLINK("./new_k5/query_cmdrels_weight_analyze/0.7_0.1_0.2/so_1194882.xlsx","so_1194882")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HYPERLINK("./new_k5/query_cmdrels_weight_analyze/0.7_0.1_0.2/so_12120935.xlsx","so_12120935")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HYPERLINK("./new_k5/query_cmdrels_weight_analyze/0.7_0.1_0.2/so_12313384.xlsx","so_12313384")</f>
        <v>so_12313384</v>
      </c>
      <c r="B220">
        <v>0</v>
      </c>
      <c r="C220">
        <v>0</v>
      </c>
      <c r="D220">
        <v>0.16666666666666671</v>
      </c>
      <c r="E220">
        <v>0.16666666666666671</v>
      </c>
      <c r="F220">
        <v>0.16666666666666671</v>
      </c>
      <c r="G220">
        <v>0.33333333333333331</v>
      </c>
    </row>
    <row r="221" spans="1:7" x14ac:dyDescent="0.15">
      <c r="A221" t="str">
        <f>HYPERLINK("./new_k5/query_cmdrels_weight_analyze/0.7_0.1_0.2/so_12392598.xlsx","so_12392598")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HYPERLINK("./new_k5/query_cmdrels_weight_analyze/0.7_0.1_0.2/so_1241801.xlsx","so_1241801")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HYPERLINK("./new_k5/query_cmdrels_weight_analyze/0.7_0.1_0.2/so_12522269.xlsx","so_12522269")</f>
        <v>so_12522269</v>
      </c>
      <c r="B223">
        <v>0.2</v>
      </c>
      <c r="C223">
        <v>0</v>
      </c>
      <c r="D223">
        <v>0.2</v>
      </c>
      <c r="E223">
        <v>0.1</v>
      </c>
      <c r="F223">
        <v>0.28000000000000003</v>
      </c>
      <c r="G223">
        <v>0.1</v>
      </c>
    </row>
    <row r="224" spans="1:7" x14ac:dyDescent="0.15">
      <c r="A224" t="str">
        <f>HYPERLINK("./new_k5/query_cmdrels_weight_analyze/0.7_0.1_0.2/so_1293907.xlsx","so_1293907")</f>
        <v>so_1293907</v>
      </c>
      <c r="B224">
        <v>0</v>
      </c>
      <c r="C224">
        <v>0.33333333333333331</v>
      </c>
      <c r="D224">
        <v>0</v>
      </c>
      <c r="E224">
        <v>0.66666666666666663</v>
      </c>
      <c r="F224">
        <v>8.3333333333333329E-2</v>
      </c>
      <c r="G224">
        <v>0.8666666666666667</v>
      </c>
    </row>
    <row r="225" spans="1:7" x14ac:dyDescent="0.15">
      <c r="A225" t="str">
        <f>HYPERLINK("./new_k5/query_cmdrels_weight_analyze/0.7_0.1_0.2/so_13428910.xlsx","so_13428910")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HYPERLINK("./new_k5/query_cmdrels_weight_analyze/0.7_0.1_0.2/so_135688.xlsx","so_135688")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HYPERLINK("./new_k5/query_cmdrels_weight_analyze/0.7_0.1_0.2/so_13778273.xlsx","so_13778273")</f>
        <v>so_13778273</v>
      </c>
      <c r="B227">
        <v>0.25</v>
      </c>
      <c r="C227">
        <v>0.25</v>
      </c>
      <c r="D227">
        <v>0.25</v>
      </c>
      <c r="E227">
        <v>0.41666666666666657</v>
      </c>
      <c r="F227">
        <v>0.25</v>
      </c>
      <c r="G227">
        <v>0.41666666666666657</v>
      </c>
    </row>
    <row r="228" spans="1:7" x14ac:dyDescent="0.15">
      <c r="A228" t="str">
        <f>HYPERLINK("./new_k5/query_cmdrels_weight_analyze/0.7_0.1_0.2/so_1405611.xlsx","so_1405611")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0.1111111111111111</v>
      </c>
      <c r="F228">
        <v>0.33333333333333331</v>
      </c>
      <c r="G228">
        <v>0.1111111111111111</v>
      </c>
    </row>
    <row r="229" spans="1:7" x14ac:dyDescent="0.15">
      <c r="A229" t="str">
        <f>HYPERLINK("./new_k5/query_cmdrels_weight_analyze/0.7_0.1_0.2/so_14300794.xlsx","so_14300794")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0.66666666666666663</v>
      </c>
    </row>
    <row r="230" spans="1:7" x14ac:dyDescent="0.15">
      <c r="A230" t="str">
        <f>HYPERLINK("./new_k5/query_cmdrels_weight_analyze/0.7_0.1_0.2/so_143791.xlsx","so_143791")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HYPERLINK("./new_k5/query_cmdrels_weight_analyze/0.7_0.1_0.2/so_14750650.xlsx","so_14750650")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0.05</v>
      </c>
    </row>
    <row r="232" spans="1:7" x14ac:dyDescent="0.15">
      <c r="A232" t="str">
        <f>HYPERLINK("./new_k5/query_cmdrels_weight_analyze/0.7_0.1_0.2/so_14978411.xlsx","so_14978411")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HYPERLINK("./new_k5/query_cmdrels_weight_analyze/0.7_0.1_0.2/so_15236308.xlsx","so_15236308")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HYPERLINK("./new_k5/query_cmdrels_weight_analyze/0.7_0.1_0.2/so_15286947.xlsx","so_15286947")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HYPERLINK("./new_k5/query_cmdrels_weight_analyze/0.7_0.1_0.2/so_15402770.xlsx","so_15402770")</f>
        <v>so_15402770</v>
      </c>
      <c r="B235">
        <v>0</v>
      </c>
      <c r="C235">
        <v>0</v>
      </c>
      <c r="D235">
        <v>0.19444444444444439</v>
      </c>
      <c r="E235">
        <v>0.19444444444444439</v>
      </c>
      <c r="F235">
        <v>0.19444444444444439</v>
      </c>
      <c r="G235">
        <v>0.31944444444444442</v>
      </c>
    </row>
    <row r="236" spans="1:7" x14ac:dyDescent="0.15">
      <c r="A236" t="str">
        <f>HYPERLINK("./new_k5/query_cmdrels_weight_analyze/0.7_0.1_0.2/so_1570262.xlsx","so_1570262")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0.13</v>
      </c>
    </row>
    <row r="237" spans="1:7" x14ac:dyDescent="0.15">
      <c r="A237" t="str">
        <f>HYPERLINK("./new_k5/query_cmdrels_weight_analyze/0.7_0.1_0.2/so_1583219.xlsx","so_1583219")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HYPERLINK("./new_k5/query_cmdrels_weight_analyze/0.7_0.1_0.2/so_15872543.xlsx","so_15872543")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HYPERLINK("./new_k5/query_cmdrels_weight_analyze/0.7_0.1_0.2/so_16038087.xlsx","so_16038087")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0.54285714285714282</v>
      </c>
    </row>
    <row r="240" spans="1:7" x14ac:dyDescent="0.15">
      <c r="A240" t="str">
        <f>HYPERLINK("./new_k5/query_cmdrels_weight_analyze/0.7_0.1_0.2/so_16212656.xlsx","so_16212656")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0.38</v>
      </c>
    </row>
    <row r="241" spans="1:7" x14ac:dyDescent="0.15">
      <c r="A241" t="str">
        <f>HYPERLINK("./new_k5/query_cmdrels_weight_analyze/0.7_0.1_0.2/so_16575419.xlsx","so_16575419")</f>
        <v>so_16575419</v>
      </c>
      <c r="B241">
        <v>0.25</v>
      </c>
      <c r="C241">
        <v>0.25</v>
      </c>
      <c r="D241">
        <v>0.25</v>
      </c>
      <c r="E241">
        <v>0.5</v>
      </c>
      <c r="F241">
        <v>0.25</v>
      </c>
      <c r="G241">
        <v>0.5</v>
      </c>
    </row>
    <row r="242" spans="1:7" x14ac:dyDescent="0.15">
      <c r="A242" t="str">
        <f>HYPERLINK("./new_k5/query_cmdrels_weight_analyze/0.7_0.1_0.2/so_17582768.xlsx","so_17582768")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6.6666666666666666E-2</v>
      </c>
    </row>
    <row r="243" spans="1:7" x14ac:dyDescent="0.15">
      <c r="A243" t="str">
        <f>HYPERLINK("./new_k5/query_cmdrels_weight_analyze/0.7_0.1_0.2/so_17607612.xlsx","so_17607612")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HYPERLINK("./new_k5/query_cmdrels_weight_analyze/0.7_0.1_0.2/so_17829785.xlsx","so_17829785")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HYPERLINK("./new_k5/query_cmdrels_weight_analyze/0.7_0.1_0.2/so_1839841.xlsx","so_1839841")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HYPERLINK("./new_k5/query_cmdrels_weight_analyze/0.7_0.1_0.2/so_18468716.xlsx","so_18468716")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0.33333333333333331</v>
      </c>
    </row>
    <row r="247" spans="1:7" x14ac:dyDescent="0.15">
      <c r="A247" t="str">
        <f>HYPERLINK("./new_k5/query_cmdrels_weight_analyze/0.7_0.1_0.2/so_19196105.xlsx","so_19196105")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HYPERLINK("./new_k5/query_cmdrels_weight_analyze/0.7_0.1_0.2/so_19482123.xlsx","so_19482123")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HYPERLINK("./new_k5/query_cmdrels_weight_analyze/0.7_0.1_0.2/so_1975849.xlsx","so_1975849")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HYPERLINK("./new_k5/query_cmdrels_weight_analyze/0.7_0.1_0.2/so_212528.xlsx","so_212528")</f>
        <v>so_212528</v>
      </c>
      <c r="B250">
        <v>0</v>
      </c>
      <c r="C250">
        <v>0.16666666666666671</v>
      </c>
      <c r="D250">
        <v>0.19444444444444439</v>
      </c>
      <c r="E250">
        <v>0.5</v>
      </c>
      <c r="F250">
        <v>0.19444444444444439</v>
      </c>
      <c r="G250">
        <v>0.5</v>
      </c>
    </row>
    <row r="251" spans="1:7" x14ac:dyDescent="0.15">
      <c r="A251" t="str">
        <f>HYPERLINK("./new_k5/query_cmdrels_weight_analyze/0.7_0.1_0.2/so_21620406.xlsx","so_21620406")</f>
        <v>so_21620406</v>
      </c>
      <c r="B251">
        <v>0</v>
      </c>
      <c r="C251">
        <v>0</v>
      </c>
      <c r="D251">
        <v>0.1111111111111111</v>
      </c>
      <c r="E251">
        <v>0</v>
      </c>
      <c r="F251">
        <v>0.1111111111111111</v>
      </c>
      <c r="G251">
        <v>8.3333333333333329E-2</v>
      </c>
    </row>
    <row r="252" spans="1:7" x14ac:dyDescent="0.15">
      <c r="A252" t="str">
        <f>HYPERLINK("./new_k5/query_cmdrels_weight_analyze/0.7_0.1_0.2/so_23509348.xlsx","so_23509348")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HYPERLINK("./new_k5/query_cmdrels_weight_analyze/0.7_0.1_0.2/so_24058544.xlsx","so_24058544")</f>
        <v>so_24058544</v>
      </c>
      <c r="B253">
        <v>0.2</v>
      </c>
      <c r="C253">
        <v>0.2</v>
      </c>
      <c r="D253">
        <v>0.2</v>
      </c>
      <c r="E253">
        <v>0.2</v>
      </c>
      <c r="F253">
        <v>0.2</v>
      </c>
      <c r="G253">
        <v>0.2</v>
      </c>
    </row>
    <row r="254" spans="1:7" x14ac:dyDescent="0.15">
      <c r="A254" t="str">
        <f>HYPERLINK("./new_k5/query_cmdrels_weight_analyze/0.7_0.1_0.2/so_24283097.xlsx","so_24283097")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HYPERLINK("./new_k5/query_cmdrels_weight_analyze/0.7_0.1_0.2/so_26256279.xlsx","so_26256279")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HYPERLINK("./new_k5/query_cmdrels_weight_analyze/0.7_0.1_0.2/so_26331651.xlsx","so_26331651")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HYPERLINK("./new_k5/query_cmdrels_weight_analyze/0.7_0.1_0.2/so_26988262.xlsx","so_26988262")</f>
        <v>so_26988262</v>
      </c>
      <c r="B257">
        <v>0</v>
      </c>
      <c r="C257">
        <v>0</v>
      </c>
      <c r="D257">
        <v>0.16666666666666671</v>
      </c>
      <c r="E257">
        <v>0.16666666666666671</v>
      </c>
      <c r="F257">
        <v>0.33333333333333331</v>
      </c>
      <c r="G257">
        <v>0.16666666666666671</v>
      </c>
    </row>
    <row r="258" spans="1:7" x14ac:dyDescent="0.15">
      <c r="A258" t="str">
        <f>HYPERLINK("./new_k5/query_cmdrels_weight_analyze/0.7_0.1_0.2/so_27238411.xlsx","so_27238411")</f>
        <v>so_27238411</v>
      </c>
      <c r="B258">
        <v>0.2</v>
      </c>
      <c r="C258">
        <v>0.2</v>
      </c>
      <c r="D258">
        <v>0.6</v>
      </c>
      <c r="E258">
        <v>0.6</v>
      </c>
      <c r="F258">
        <v>0.6</v>
      </c>
      <c r="G258">
        <v>0.6</v>
      </c>
    </row>
    <row r="259" spans="1:7" x14ac:dyDescent="0.15">
      <c r="A259" t="str">
        <f>HYPERLINK("./new_k5/query_cmdrels_weight_analyze/0.7_0.1_0.2/so_27943059.xlsx","so_27943059")</f>
        <v>so_27943059</v>
      </c>
      <c r="B259">
        <v>0</v>
      </c>
      <c r="C259">
        <v>0</v>
      </c>
      <c r="D259">
        <v>0.16666666666666671</v>
      </c>
      <c r="E259">
        <v>0.16666666666666671</v>
      </c>
      <c r="F259">
        <v>0.16666666666666671</v>
      </c>
      <c r="G259">
        <v>0.3</v>
      </c>
    </row>
    <row r="260" spans="1:7" x14ac:dyDescent="0.15">
      <c r="A260" t="str">
        <f>HYPERLINK("./new_k5/query_cmdrels_weight_analyze/0.7_0.1_0.2/so_28869004.xlsx","so_28869004")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HYPERLINK("./new_k5/query_cmdrels_weight_analyze/0.7_0.1_0.2/so_2973624.xlsx","so_2973624")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0.66666666666666663</v>
      </c>
      <c r="F261">
        <v>0.66666666666666663</v>
      </c>
      <c r="G261">
        <v>0.91666666666666663</v>
      </c>
    </row>
    <row r="262" spans="1:7" x14ac:dyDescent="0.15">
      <c r="A262" t="str">
        <f>HYPERLINK("./new_k5/query_cmdrels_weight_analyze/0.7_0.1_0.2/so_30177455.xlsx","so_30177455")</f>
        <v>so_30177455</v>
      </c>
      <c r="B262">
        <v>0</v>
      </c>
      <c r="C262">
        <v>0</v>
      </c>
      <c r="D262">
        <v>0.16666666666666671</v>
      </c>
      <c r="E262">
        <v>0</v>
      </c>
      <c r="F262">
        <v>0.16666666666666671</v>
      </c>
      <c r="G262">
        <v>6.6666666666666666E-2</v>
      </c>
    </row>
    <row r="263" spans="1:7" x14ac:dyDescent="0.15">
      <c r="A263" t="str">
        <f>HYPERLINK("./new_k5/query_cmdrels_weight_analyze/0.7_0.1_0.2/so_30251889.xlsx","so_30251889")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0.6791666666666667</v>
      </c>
    </row>
    <row r="264" spans="1:7" x14ac:dyDescent="0.15">
      <c r="A264" t="str">
        <f>HYPERLINK("./new_k5/query_cmdrels_weight_analyze/0.7_0.1_0.2/so_305035.xlsx","so_305035")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HYPERLINK("./new_k5/query_cmdrels_weight_analyze/0.7_0.1_0.2/so_36249744.xlsx","so_36249744")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HYPERLINK("./new_k5/query_cmdrels_weight_analyze/0.7_0.1_0.2/so_3643848.xlsx","so_3643848")</f>
        <v>so_3643848</v>
      </c>
      <c r="B266">
        <v>0.5</v>
      </c>
      <c r="C266">
        <v>0.5</v>
      </c>
      <c r="D266">
        <v>1</v>
      </c>
      <c r="E266">
        <v>0.5</v>
      </c>
      <c r="F266">
        <v>1</v>
      </c>
      <c r="G266">
        <v>0.75</v>
      </c>
    </row>
    <row r="267" spans="1:7" x14ac:dyDescent="0.15">
      <c r="A267" t="str">
        <f>HYPERLINK("./new_k5/query_cmdrels_weight_analyze/0.7_0.1_0.2/so_3667329.xlsx","so_3667329")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HYPERLINK("./new_k5/query_cmdrels_weight_analyze/0.7_0.1_0.2/so_369758.xlsx","so_369758")</f>
        <v>so_369758</v>
      </c>
      <c r="B268">
        <v>0.2</v>
      </c>
      <c r="C268">
        <v>0.2</v>
      </c>
      <c r="D268">
        <v>0.4</v>
      </c>
      <c r="E268">
        <v>0.33333333333333331</v>
      </c>
      <c r="F268">
        <v>0.4</v>
      </c>
      <c r="G268">
        <v>0.48333333333333328</v>
      </c>
    </row>
    <row r="269" spans="1:7" x14ac:dyDescent="0.15">
      <c r="A269" t="str">
        <f>HYPERLINK("./new_k5/query_cmdrels_weight_analyze/0.7_0.1_0.2/so_3756323.xlsx","so_3756323")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</v>
      </c>
    </row>
    <row r="270" spans="1:7" x14ac:dyDescent="0.15">
      <c r="A270" t="str">
        <f>HYPERLINK("./new_k5/query_cmdrels_weight_analyze/0.7_0.1_0.2/so_3767267.xlsx","so_3767267")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HYPERLINK("./new_k5/query_cmdrels_weight_analyze/0.7_0.1_0.2/so_3833578.xlsx","so_3833578")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HYPERLINK("./new_k5/query_cmdrels_weight_analyze/0.7_0.1_0.2/so_3891076.xlsx","so_3891076")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0.52500000000000002</v>
      </c>
    </row>
    <row r="273" spans="1:7" x14ac:dyDescent="0.15">
      <c r="A273" t="str">
        <f>HYPERLINK("./new_k5/query_cmdrels_weight_analyze/0.7_0.1_0.2/so_3963085.xlsx","so_3963085")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HYPERLINK("./new_k5/query_cmdrels_weight_analyze/0.7_0.1_0.2/so_4325216.xlsx","so_4325216")</f>
        <v>so_4325216</v>
      </c>
      <c r="B274">
        <v>0.5</v>
      </c>
      <c r="C274">
        <v>0.5</v>
      </c>
      <c r="D274">
        <v>0.5</v>
      </c>
      <c r="E274">
        <v>0.83333333333333326</v>
      </c>
      <c r="F274">
        <v>0.5</v>
      </c>
      <c r="G274">
        <v>0.83333333333333326</v>
      </c>
    </row>
    <row r="275" spans="1:7" x14ac:dyDescent="0.15">
      <c r="A275" t="str">
        <f>HYPERLINK("./new_k5/query_cmdrels_weight_analyze/0.7_0.1_0.2/so_448005.xlsx","so_448005")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HYPERLINK("./new_k5/query_cmdrels_weight_analyze/0.7_0.1_0.2/so_4921879.xlsx","so_4921879")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HYPERLINK("./new_k5/query_cmdrels_weight_analyze/0.7_0.1_0.2/so_4922943.xlsx","so_4922943")</f>
        <v>so_4922943</v>
      </c>
      <c r="B277">
        <v>0.2</v>
      </c>
      <c r="C277">
        <v>0</v>
      </c>
      <c r="D277">
        <v>0.33333333333333331</v>
      </c>
      <c r="E277">
        <v>0.1</v>
      </c>
      <c r="F277">
        <v>0.33333333333333331</v>
      </c>
      <c r="G277">
        <v>0.2</v>
      </c>
    </row>
    <row r="278" spans="1:7" x14ac:dyDescent="0.15">
      <c r="A278" t="str">
        <f>HYPERLINK("./new_k5/query_cmdrels_weight_analyze/0.7_0.1_0.2/so_5119946.xlsx","so_5119946")</f>
        <v>so_5119946</v>
      </c>
      <c r="B278">
        <v>0.5</v>
      </c>
      <c r="C278">
        <v>0</v>
      </c>
      <c r="D278">
        <v>0.5</v>
      </c>
      <c r="E278">
        <v>0.16666666666666671</v>
      </c>
      <c r="F278">
        <v>0.5</v>
      </c>
      <c r="G278">
        <v>0.41666666666666657</v>
      </c>
    </row>
    <row r="279" spans="1:7" x14ac:dyDescent="0.15">
      <c r="A279" t="str">
        <f>HYPERLINK("./new_k5/query_cmdrels_weight_analyze/0.7_0.1_0.2/so_5164985.xlsx","so_5164985")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0.3</v>
      </c>
    </row>
    <row r="280" spans="1:7" x14ac:dyDescent="0.15">
      <c r="A280" t="str">
        <f>HYPERLINK("./new_k5/query_cmdrels_weight_analyze/0.7_0.1_0.2/so_5306153.xlsx","so_5306153")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HYPERLINK("./new_k5/query_cmdrels_weight_analyze/0.7_0.1_0.2/so_5566310.xlsx","so_5566310")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HYPERLINK("./new_k5/query_cmdrels_weight_analyze/0.7_0.1_0.2/so_5927369.xlsx","so_5927369")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HYPERLINK("./new_k5/query_cmdrels_weight_analyze/0.7_0.1_0.2/so_5947742.xlsx","so_5947742")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HYPERLINK("./new_k5/query_cmdrels_weight_analyze/0.7_0.1_0.2/so_614795.xlsx","so_614795")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HYPERLINK("./new_k5/query_cmdrels_weight_analyze/0.7_0.1_0.2/so_6207573.xlsx","so_6207573")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0.42857142857142849</v>
      </c>
      <c r="F285">
        <v>0.37142857142857139</v>
      </c>
      <c r="G285">
        <v>0.5714285714285714</v>
      </c>
    </row>
    <row r="286" spans="1:7" x14ac:dyDescent="0.15">
      <c r="A286" t="str">
        <f>HYPERLINK("./new_k5/query_cmdrels_weight_analyze/0.7_0.1_0.2/so_6283167.xlsx","so_6283167")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HYPERLINK("./new_k5/query_cmdrels_weight_analyze/0.7_0.1_0.2/so_6329505.xlsx","so_6329505")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HYPERLINK("./new_k5/query_cmdrels_weight_analyze/0.7_0.1_0.2/so_6423532.xlsx","so_6423532")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HYPERLINK("./new_k5/query_cmdrels_weight_analyze/0.7_0.1_0.2/so_669438.xlsx","so_669438")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0.45333333333333331</v>
      </c>
    </row>
    <row r="290" spans="1:7" x14ac:dyDescent="0.15">
      <c r="A290" t="str">
        <f>HYPERLINK("./new_k5/query_cmdrels_weight_analyze/0.7_0.1_0.2/so_7052875.xlsx","so_7052875")</f>
        <v>so_7052875</v>
      </c>
      <c r="B290">
        <v>0.2</v>
      </c>
      <c r="C290">
        <v>0</v>
      </c>
      <c r="D290">
        <v>0.2</v>
      </c>
      <c r="E290">
        <v>0.1</v>
      </c>
      <c r="F290">
        <v>0.2</v>
      </c>
      <c r="G290">
        <v>0.2</v>
      </c>
    </row>
    <row r="291" spans="1:7" x14ac:dyDescent="0.15">
      <c r="A291" t="str">
        <f>HYPERLINK("./new_k5/query_cmdrels_weight_analyze/0.7_0.1_0.2/so_7221757.xlsx","so_7221757")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HYPERLINK("./new_k5/query_cmdrels_weight_analyze/0.7_0.1_0.2/so_750604.xlsx","so_750604")</f>
        <v>so_750604</v>
      </c>
      <c r="B292">
        <v>0</v>
      </c>
      <c r="C292">
        <v>0</v>
      </c>
      <c r="D292">
        <v>0.1111111111111111</v>
      </c>
      <c r="E292">
        <v>0.1111111111111111</v>
      </c>
      <c r="F292">
        <v>0.1111111111111111</v>
      </c>
      <c r="G292">
        <v>0.27777777777777768</v>
      </c>
    </row>
    <row r="293" spans="1:7" x14ac:dyDescent="0.15">
      <c r="A293" t="str">
        <f>HYPERLINK("./new_k5/query_cmdrels_weight_analyze/0.7_0.1_0.2/so_7575267.xlsx","so_7575267")</f>
        <v>so_7575267</v>
      </c>
      <c r="B293">
        <v>0</v>
      </c>
      <c r="C293">
        <v>0.25</v>
      </c>
      <c r="D293">
        <v>0</v>
      </c>
      <c r="E293">
        <v>0.41666666666666657</v>
      </c>
      <c r="F293">
        <v>0</v>
      </c>
      <c r="G293">
        <v>0.41666666666666657</v>
      </c>
    </row>
    <row r="294" spans="1:7" x14ac:dyDescent="0.15">
      <c r="A294" t="str">
        <f>HYPERLINK("./new_k5/query_cmdrels_weight_analyze/0.7_0.1_0.2/so_7698488.xlsx","so_7698488")</f>
        <v>so_7698488</v>
      </c>
      <c r="B294">
        <v>0</v>
      </c>
      <c r="C294">
        <v>0</v>
      </c>
      <c r="D294">
        <v>0</v>
      </c>
      <c r="E294">
        <v>8.3333333333333329E-2</v>
      </c>
      <c r="F294">
        <v>0</v>
      </c>
      <c r="G294">
        <v>0.20833333333333329</v>
      </c>
    </row>
    <row r="295" spans="1:7" x14ac:dyDescent="0.15">
      <c r="A295" t="str">
        <f>HYPERLINK("./new_k5/query_cmdrels_weight_analyze/0.7_0.1_0.2/so_801095.xlsx","so_801095")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0.33333333333333331</v>
      </c>
      <c r="F295">
        <v>0.33333333333333331</v>
      </c>
      <c r="G295">
        <v>0.5</v>
      </c>
    </row>
    <row r="296" spans="1:7" x14ac:dyDescent="0.15">
      <c r="A296" t="str">
        <f>HYPERLINK("./new_k5/query_cmdrels_weight_analyze/0.7_0.1_0.2/so_8249705.xlsx","so_8249705")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HYPERLINK("./new_k5/query_cmdrels_weight_analyze/0.7_0.1_0.2/so_8423541.xlsx","so_8423541")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HYPERLINK("./new_k5/query_cmdrels_weight_analyze/0.7_0.1_0.2/so_8654051.xlsx","so_8654051")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HYPERLINK("./new_k5/query_cmdrels_weight_analyze/0.7_0.1_0.2/so_890262.xlsx","so_890262")</f>
        <v>so_890262</v>
      </c>
      <c r="B299">
        <v>0</v>
      </c>
      <c r="C299">
        <v>0</v>
      </c>
      <c r="D299">
        <v>0</v>
      </c>
      <c r="E299">
        <v>0.16666666666666671</v>
      </c>
      <c r="F299">
        <v>0</v>
      </c>
      <c r="G299">
        <v>0.33333333333333331</v>
      </c>
    </row>
    <row r="300" spans="1:7" x14ac:dyDescent="0.15">
      <c r="A300" t="str">
        <f>HYPERLINK("./new_k5/query_cmdrels_weight_analyze/0.7_0.1_0.2/so_893585.xlsx","so_893585")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HYPERLINK("./new_k5/query_cmdrels_weight_analyze/0.7_0.1_0.2/so_9223460.xlsx","so_9223460")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HYPERLINK("./new_k5/query_cmdrels_weight_analyze/0.7_0.1_0.2/so_9245638.xlsx","so_9245638")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HYPERLINK("./new_k5/query_cmdrels_weight_analyze/0.7_0.1_0.2/so_9304953.xlsx","so_9304953")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HYPERLINK("./new_k5/query_cmdrels_weight_analyze/0.7_0.1_0.2/so_9361816.xlsx","so_9361816")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HYPERLINK("./new_k5/query_cmdrels_weight_analyze/0.7_0.1_0.2/su_116617.xlsx","su_116617")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HYPERLINK("./new_k5/query_cmdrels_weight_analyze/0.7_0.1_0.2/su_120045.xlsx","su_120045")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HYPERLINK("./new_k5/query_cmdrels_weight_analyze/0.7_0.1_0.2/su_127863.xlsx","su_127863")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HYPERLINK("./new_k5/query_cmdrels_weight_analyze/0.7_0.1_0.2/su_135498.xlsx","su_135498")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HYPERLINK("./new_k5/query_cmdrels_weight_analyze/0.7_0.1_0.2/su_147027.xlsx","su_147027")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HYPERLINK("./new_k5/query_cmdrels_weight_analyze/0.7_0.1_0.2/su_151911.xlsx","su_151911")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15">
      <c r="A311" t="str">
        <f>HYPERLINK("./new_k5/query_cmdrels_weight_analyze/0.7_0.1_0.2/su_153415.xlsx","su_153415")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HYPERLINK("./new_k5/query_cmdrels_weight_analyze/0.7_0.1_0.2/su_156189.xlsx","su_156189")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0.37777777777777782</v>
      </c>
    </row>
    <row r="313" spans="1:7" x14ac:dyDescent="0.15">
      <c r="A313" t="str">
        <f>HYPERLINK("./new_k5/query_cmdrels_weight_analyze/0.7_0.1_0.2/su_161531.xlsx","su_161531")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HYPERLINK("./new_k5/query_cmdrels_weight_analyze/0.7_0.1_0.2/su_204209.xlsx","su_204209")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HYPERLINK("./new_k5/query_cmdrels_weight_analyze/0.7_0.1_0.2/su_214390.xlsx","su_214390")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HYPERLINK("./new_k5/query_cmdrels_weight_analyze/0.7_0.1_0.2/su_215483.xlsx","su_215483")</f>
        <v>su_215483</v>
      </c>
      <c r="B316">
        <v>0.5</v>
      </c>
      <c r="C316">
        <v>0.5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HYPERLINK("./new_k5/query_cmdrels_weight_analyze/0.7_0.1_0.2/su_215504.xlsx","su_215504")</f>
        <v>su_215504</v>
      </c>
      <c r="B317">
        <v>0</v>
      </c>
      <c r="C317">
        <v>0.25</v>
      </c>
      <c r="D317">
        <v>0.29166666666666657</v>
      </c>
      <c r="E317">
        <v>0.41666666666666657</v>
      </c>
      <c r="F317">
        <v>0.44166666666666671</v>
      </c>
      <c r="G317">
        <v>0.60416666666666663</v>
      </c>
    </row>
    <row r="318" spans="1:7" x14ac:dyDescent="0.15">
      <c r="A318" t="str">
        <f>HYPERLINK("./new_k5/query_cmdrels_weight_analyze/0.7_0.1_0.2/su_227385.xlsx","su_227385")</f>
        <v>su_227385</v>
      </c>
      <c r="B318">
        <v>0</v>
      </c>
      <c r="C318">
        <v>0</v>
      </c>
      <c r="D318">
        <v>0</v>
      </c>
      <c r="E318">
        <v>0.29166666666666657</v>
      </c>
      <c r="F318">
        <v>0</v>
      </c>
      <c r="G318">
        <v>0.6791666666666667</v>
      </c>
    </row>
    <row r="319" spans="1:7" x14ac:dyDescent="0.15">
      <c r="A319" t="str">
        <f>HYPERLINK("./new_k5/query_cmdrels_weight_analyze/0.7_0.1_0.2/su_273254.xlsx","su_273254")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HYPERLINK("./new_k5/query_cmdrels_weight_analyze/0.7_0.1_0.2/su_294161.xlsx","su_294161")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HYPERLINK("./new_k5/query_cmdrels_weight_analyze/0.7_0.1_0.2/su_302396.xlsx","su_302396")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HYPERLINK("./new_k5/query_cmdrels_weight_analyze/0.7_0.1_0.2/su_303981.xlsx","su_303981")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HYPERLINK("./new_k5/query_cmdrels_weight_analyze/0.7_0.1_0.2/su_305128.xlsx","su_305128")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HYPERLINK("./new_k5/query_cmdrels_weight_analyze/0.7_0.1_0.2/su_31512.xlsx","su_31512")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HYPERLINK("./new_k5/query_cmdrels_weight_analyze/0.7_0.1_0.2/su_380520.xlsx","su_380520")</f>
        <v>su_380520</v>
      </c>
      <c r="B325">
        <v>0.33333333333333331</v>
      </c>
      <c r="C325">
        <v>0.33333333333333331</v>
      </c>
      <c r="D325">
        <v>0.33333333333333331</v>
      </c>
      <c r="E325">
        <v>0.33333333333333331</v>
      </c>
      <c r="F325">
        <v>0.33333333333333331</v>
      </c>
      <c r="G325">
        <v>0.5</v>
      </c>
    </row>
    <row r="326" spans="1:7" x14ac:dyDescent="0.15">
      <c r="A326" t="str">
        <f>HYPERLINK("./new_k5/query_cmdrels_weight_analyze/0.7_0.1_0.2/su_38981.xlsx","su_38981")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HYPERLINK("./new_k5/query_cmdrels_weight_analyze/0.7_0.1_0.2/su_437330.xlsx","su_437330")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HYPERLINK("./new_k5/query_cmdrels_weight_analyze/0.7_0.1_0.2/su_441379.xlsx","su_441379")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HYPERLINK("./new_k5/query_cmdrels_weight_analyze/0.7_0.1_0.2/su_462788.xlsx","su_462788")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0.22222222222222221</v>
      </c>
      <c r="F329">
        <v>0.30555555555555558</v>
      </c>
      <c r="G329">
        <v>0.39444444444444438</v>
      </c>
    </row>
    <row r="330" spans="1:7" x14ac:dyDescent="0.15">
      <c r="A330" t="str">
        <f>HYPERLINK("./new_k5/query_cmdrels_weight_analyze/0.7_0.1_0.2/su_626606.xlsx","su_626606")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0.66666666666666663</v>
      </c>
    </row>
    <row r="331" spans="1:7" x14ac:dyDescent="0.15">
      <c r="A331" t="str">
        <f>HYPERLINK("./new_k5/query_cmdrels_weight_analyze/0.7_0.1_0.2/su_634469.xlsx","su_634469")</f>
        <v>su_634469</v>
      </c>
      <c r="B331">
        <v>0</v>
      </c>
      <c r="C331">
        <v>0.16666666666666671</v>
      </c>
      <c r="D331">
        <v>0</v>
      </c>
      <c r="E331">
        <v>0.33333333333333331</v>
      </c>
      <c r="F331">
        <v>0</v>
      </c>
      <c r="G331">
        <v>0.45833333333333331</v>
      </c>
    </row>
    <row r="332" spans="1:7" x14ac:dyDescent="0.15">
      <c r="A332" t="str">
        <f>HYPERLINK("./new_k5/query_cmdrels_weight_analyze/0.7_0.1_0.2/su_638616.xlsx","su_638616")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HYPERLINK("./new_k5/query_cmdrels_weight_analyze/0.7_0.1_0.2/su_678113.xlsx","su_678113")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HYPERLINK("./new_k5/query_cmdrels_weight_analyze/0.7_0.1_0.2/su_686394.xlsx","su_686394")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HYPERLINK("./new_k5/query_cmdrels_weight_analyze/0.7_0.1_0.2/su_716795.xlsx","su_716795")</f>
        <v>su_716795</v>
      </c>
      <c r="B335">
        <v>0.5</v>
      </c>
      <c r="C335">
        <v>0</v>
      </c>
      <c r="D335">
        <v>0.83333333333333326</v>
      </c>
      <c r="E335">
        <v>0.16666666666666671</v>
      </c>
      <c r="F335">
        <v>0.83333333333333326</v>
      </c>
      <c r="G335">
        <v>0.16666666666666671</v>
      </c>
    </row>
    <row r="336" spans="1:7" x14ac:dyDescent="0.15">
      <c r="A336" t="str">
        <f>HYPERLINK("./new_k5/query_cmdrels_weight_analyze/0.7_0.1_0.2/su_758463.xlsx","su_758463")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HYPERLINK("./new_k5/query_cmdrels_weight_analyze/0.7_0.1_0.2/su_766437.xlsx","su_766437")</f>
        <v>su_766437</v>
      </c>
      <c r="B337">
        <v>0</v>
      </c>
      <c r="C337">
        <v>0</v>
      </c>
      <c r="D337">
        <v>0</v>
      </c>
      <c r="E337">
        <v>0.23333333333333331</v>
      </c>
      <c r="F337">
        <v>0.05</v>
      </c>
      <c r="G337">
        <v>0.35333333333333328</v>
      </c>
    </row>
    <row r="338" spans="1:7" x14ac:dyDescent="0.15">
      <c r="A338" t="str">
        <f>HYPERLINK("./new_k5/query_cmdrels_weight_analyze/0.7_0.1_0.2/su_904001.xlsx","su_904001")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HYPERLINK("./new_k5/query_cmdrels_weight_analyze/0.7_0.1_0.2/ul_100959.xlsx","ul_100959")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HYPERLINK("./new_k5/query_cmdrels_weight_analyze/0.7_0.1_0.2/ul_101073.xlsx","ul_101073")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HYPERLINK("./new_k5/query_cmdrels_weight_analyze/0.7_0.1_0.2/ul_101237.xlsx","ul_101237")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HYPERLINK("./new_k5/query_cmdrels_weight_analyze/0.7_0.1_0.2/ul_102752.xlsx","ul_102752")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HYPERLINK("./new_k5/query_cmdrels_weight_analyze/0.7_0.1_0.2/ul_108174.xlsx","ul_108174")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HYPERLINK("./new_k5/query_cmdrels_weight_analyze/0.7_0.1_0.2/ul_109536.xlsx","ul_109536")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HYPERLINK("./new_k5/query_cmdrels_weight_analyze/0.7_0.1_0.2/ul_112050.xlsx","ul_112050")</f>
        <v>ul_112050</v>
      </c>
      <c r="B345">
        <v>0</v>
      </c>
      <c r="C345">
        <v>0.25</v>
      </c>
      <c r="D345">
        <v>0.125</v>
      </c>
      <c r="E345">
        <v>0.75</v>
      </c>
      <c r="F345">
        <v>0.125</v>
      </c>
      <c r="G345">
        <v>0.75</v>
      </c>
    </row>
    <row r="346" spans="1:7" x14ac:dyDescent="0.15">
      <c r="A346" t="str">
        <f>HYPERLINK("./new_k5/query_cmdrels_weight_analyze/0.7_0.1_0.2/ul_116070.xlsx","ul_116070")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HYPERLINK("./new_k5/query_cmdrels_weight_analyze/0.7_0.1_0.2/ul_11851.xlsx","ul_11851")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0.76</v>
      </c>
    </row>
    <row r="348" spans="1:7" x14ac:dyDescent="0.15">
      <c r="A348" t="str">
        <f>HYPERLINK("./new_k5/query_cmdrels_weight_analyze/0.7_0.1_0.2/ul_119126.xlsx","ul_119126")</f>
        <v>ul_119126</v>
      </c>
      <c r="B348">
        <v>0</v>
      </c>
      <c r="C348">
        <v>0.2</v>
      </c>
      <c r="D348">
        <v>0.1</v>
      </c>
      <c r="E348">
        <v>0.4</v>
      </c>
      <c r="F348">
        <v>0.18</v>
      </c>
      <c r="G348">
        <v>0.55000000000000004</v>
      </c>
    </row>
    <row r="349" spans="1:7" x14ac:dyDescent="0.15">
      <c r="A349" t="str">
        <f>HYPERLINK("./new_k5/query_cmdrels_weight_analyze/0.7_0.1_0.2/ul_121718.xlsx","ul_121718")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HYPERLINK("./new_k5/query_cmdrels_weight_analyze/0.7_0.1_0.2/ul_12227.xlsx","ul_12227")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HYPERLINK("./new_k5/query_cmdrels_weight_analyze/0.7_0.1_0.2/ul_12453.xlsx","ul_12453")</f>
        <v>ul_12453</v>
      </c>
      <c r="B351">
        <v>0</v>
      </c>
      <c r="C351">
        <v>0</v>
      </c>
      <c r="D351">
        <v>0.125</v>
      </c>
      <c r="E351">
        <v>0.29166666666666657</v>
      </c>
      <c r="F351">
        <v>0.125</v>
      </c>
      <c r="G351">
        <v>0.47916666666666657</v>
      </c>
    </row>
    <row r="352" spans="1:7" x14ac:dyDescent="0.15">
      <c r="A352" t="str">
        <f>HYPERLINK("./new_k5/query_cmdrels_weight_analyze/0.7_0.1_0.2/ul_12535.xlsx","ul_12535")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0.16666666666666671</v>
      </c>
    </row>
    <row r="353" spans="1:7" x14ac:dyDescent="0.15">
      <c r="A353" t="str">
        <f>HYPERLINK("./new_k5/query_cmdrels_weight_analyze/0.7_0.1_0.2/ul_127066.xlsx","ul_127066")</f>
        <v>ul_127066</v>
      </c>
      <c r="B353">
        <v>0.25</v>
      </c>
      <c r="C353">
        <v>0.25</v>
      </c>
      <c r="D353">
        <v>0.25</v>
      </c>
      <c r="E353">
        <v>0.25</v>
      </c>
      <c r="F353">
        <v>0.25</v>
      </c>
      <c r="G353">
        <v>0.375</v>
      </c>
    </row>
    <row r="354" spans="1:7" x14ac:dyDescent="0.15">
      <c r="A354" t="str">
        <f>HYPERLINK("./new_k5/query_cmdrels_weight_analyze/0.7_0.1_0.2/ul_128953.xlsx","ul_128953")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HYPERLINK("./new_k5/query_cmdrels_weight_analyze/0.7_0.1_0.2/ul_134829.xlsx","ul_134829")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0.5</v>
      </c>
    </row>
    <row r="356" spans="1:7" x14ac:dyDescent="0.15">
      <c r="A356" t="str">
        <f>HYPERLINK("./new_k5/query_cmdrels_weight_analyze/0.7_0.1_0.2/ul_136371.xlsx","ul_136371")</f>
        <v>ul_136371</v>
      </c>
      <c r="B356">
        <v>0</v>
      </c>
      <c r="C356">
        <v>0</v>
      </c>
      <c r="D356">
        <v>0</v>
      </c>
      <c r="E356">
        <v>0.16666666666666671</v>
      </c>
      <c r="F356">
        <v>0</v>
      </c>
      <c r="G356">
        <v>0.3</v>
      </c>
    </row>
    <row r="357" spans="1:7" x14ac:dyDescent="0.15">
      <c r="A357" t="str">
        <f>HYPERLINK("./new_k5/query_cmdrels_weight_analyze/0.7_0.1_0.2/ul_136884.xlsx","ul_136884")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HYPERLINK("./new_k5/query_cmdrels_weight_analyze/0.7_0.1_0.2/ul_138398.xlsx","ul_138398")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HYPERLINK("./new_k5/query_cmdrels_weight_analyze/0.7_0.1_0.2/ul_139271.xlsx","ul_139271")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0.33333333333333331</v>
      </c>
      <c r="F359">
        <v>0.33333333333333331</v>
      </c>
      <c r="G359">
        <v>0.43333333333333329</v>
      </c>
    </row>
    <row r="360" spans="1:7" x14ac:dyDescent="0.15">
      <c r="A360" t="str">
        <f>HYPERLINK("./new_k5/query_cmdrels_weight_analyze/0.7_0.1_0.2/ul_140482.xlsx","ul_140482")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HYPERLINK("./new_k5/query_cmdrels_weight_analyze/0.7_0.1_0.2/ul_14191.xlsx","ul_14191")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0.1111111111111111</v>
      </c>
    </row>
    <row r="362" spans="1:7" x14ac:dyDescent="0.15">
      <c r="A362" t="str">
        <f>HYPERLINK("./new_k5/query_cmdrels_weight_analyze/0.7_0.1_0.2/ul_145929.xlsx","ul_145929")</f>
        <v>ul_145929</v>
      </c>
      <c r="B362">
        <v>0</v>
      </c>
      <c r="C362">
        <v>0</v>
      </c>
      <c r="D362">
        <v>0.16666666666666671</v>
      </c>
      <c r="E362">
        <v>0.16666666666666671</v>
      </c>
      <c r="F362">
        <v>0.16666666666666671</v>
      </c>
      <c r="G362">
        <v>0.3666666666666667</v>
      </c>
    </row>
    <row r="363" spans="1:7" x14ac:dyDescent="0.15">
      <c r="A363" t="str">
        <f>HYPERLINK("./new_k5/query_cmdrels_weight_analyze/0.7_0.1_0.2/ul_148985.xlsx","ul_148985")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HYPERLINK("./new_k5/query_cmdrels_weight_analyze/0.7_0.1_0.2/ul_15405.xlsx","ul_15405")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HYPERLINK("./new_k5/query_cmdrels_weight_analyze/0.7_0.1_0.2/ul_155551.xlsx","ul_155551")</f>
        <v>ul_155551</v>
      </c>
      <c r="B365">
        <v>0</v>
      </c>
      <c r="C365">
        <v>0</v>
      </c>
      <c r="D365">
        <v>0</v>
      </c>
      <c r="E365">
        <v>0.58333333333333326</v>
      </c>
      <c r="F365">
        <v>0</v>
      </c>
      <c r="G365">
        <v>0.58333333333333326</v>
      </c>
    </row>
    <row r="366" spans="1:7" x14ac:dyDescent="0.15">
      <c r="A366" t="str">
        <f>HYPERLINK("./new_k5/query_cmdrels_weight_analyze/0.7_0.1_0.2/ul_159672.xlsx","ul_159672")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HYPERLINK("./new_k5/query_cmdrels_weight_analyze/0.7_0.1_0.2/ul_163845.xlsx","ul_163845")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HYPERLINK("./new_k5/query_cmdrels_weight_analyze/0.7_0.1_0.2/ul_16407.xlsx","ul_16407")</f>
        <v>ul_16407</v>
      </c>
      <c r="B368">
        <v>0.5</v>
      </c>
      <c r="C368">
        <v>0</v>
      </c>
      <c r="D368">
        <v>0.5</v>
      </c>
      <c r="E368">
        <v>0.25</v>
      </c>
      <c r="F368">
        <v>0.75</v>
      </c>
      <c r="G368">
        <v>0.25</v>
      </c>
    </row>
    <row r="369" spans="1:7" x14ac:dyDescent="0.15">
      <c r="A369" t="str">
        <f>HYPERLINK("./new_k5/query_cmdrels_weight_analyze/0.7_0.1_0.2/ul_166558.xlsx","ul_166558")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HYPERLINK("./new_k5/query_cmdrels_weight_analyze/0.7_0.1_0.2/ul_171314.xlsx","ul_171314")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0.27777777777777768</v>
      </c>
      <c r="F370">
        <v>0.16666666666666671</v>
      </c>
      <c r="G370">
        <v>0.37777777777777782</v>
      </c>
    </row>
    <row r="371" spans="1:7" x14ac:dyDescent="0.15">
      <c r="A371" t="str">
        <f>HYPERLINK("./new_k5/query_cmdrels_weight_analyze/0.7_0.1_0.2/ul_182032.xlsx","ul_182032")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HYPERLINK("./new_k5/query_cmdrels_weight_analyze/0.7_0.1_0.2/ul_19344.xlsx","ul_19344")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HYPERLINK("./new_k5/query_cmdrels_weight_analyze/0.7_0.1_0.2/ul_19369.xlsx","ul_19369")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0.1466666666666667</v>
      </c>
    </row>
    <row r="374" spans="1:7" x14ac:dyDescent="0.15">
      <c r="A374" t="str">
        <f>HYPERLINK("./new_k5/query_cmdrels_weight_analyze/0.7_0.1_0.2/ul_19485.xlsx","ul_19485")</f>
        <v>ul_19485</v>
      </c>
      <c r="B374">
        <v>0</v>
      </c>
      <c r="C374">
        <v>0</v>
      </c>
      <c r="D374">
        <v>0</v>
      </c>
      <c r="E374">
        <v>0.33333333333333331</v>
      </c>
      <c r="F374">
        <v>0</v>
      </c>
      <c r="G374">
        <v>0.33333333333333331</v>
      </c>
    </row>
    <row r="375" spans="1:7" x14ac:dyDescent="0.15">
      <c r="A375" t="str">
        <f>HYPERLINK("./new_k5/query_cmdrels_weight_analyze/0.7_0.1_0.2/ul_20370.xlsx","ul_20370")</f>
        <v>ul_20370</v>
      </c>
      <c r="B375">
        <v>0</v>
      </c>
      <c r="C375">
        <v>0.5</v>
      </c>
      <c r="D375">
        <v>0</v>
      </c>
      <c r="E375">
        <v>0.5</v>
      </c>
      <c r="F375">
        <v>0</v>
      </c>
      <c r="G375">
        <v>0.5</v>
      </c>
    </row>
    <row r="376" spans="1:7" x14ac:dyDescent="0.15">
      <c r="A376" t="str">
        <f>HYPERLINK("./new_k5/query_cmdrels_weight_analyze/0.7_0.1_0.2/ul_211817.xlsx","ul_211817")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HYPERLINK("./new_k5/query_cmdrels_weight_analyze/0.7_0.1_0.2/ul_212925.xlsx","ul_212925")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HYPERLINK("./new_k5/query_cmdrels_weight_analyze/0.7_0.1_0.2/ul_21471.xlsx","ul_21471")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HYPERLINK("./new_k5/query_cmdrels_weight_analyze/0.7_0.1_0.2/ul_22545.xlsx","ul_22545")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HYPERLINK("./new_k5/query_cmdrels_weight_analyze/0.7_0.1_0.2/ul_230481.xlsx","ul_230481")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HYPERLINK("./new_k5/query_cmdrels_weight_analyze/0.7_0.1_0.2/ul_230673.xlsx","ul_230673")</f>
        <v>ul_230673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0.125</v>
      </c>
    </row>
    <row r="382" spans="1:7" x14ac:dyDescent="0.15">
      <c r="A382" t="str">
        <f>HYPERLINK("./new_k5/query_cmdrels_weight_analyze/0.7_0.1_0.2/ul_230800.xlsx","ul_230800")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HYPERLINK("./new_k5/query_cmdrels_weight_analyze/0.7_0.1_0.2/ul_232384.xlsx","ul_232384")</f>
        <v>ul_232384</v>
      </c>
      <c r="B383">
        <v>0</v>
      </c>
      <c r="C383">
        <v>0.5</v>
      </c>
      <c r="D383">
        <v>0</v>
      </c>
      <c r="E383">
        <v>0.83333333333333326</v>
      </c>
      <c r="F383">
        <v>0</v>
      </c>
      <c r="G383">
        <v>0.83333333333333326</v>
      </c>
    </row>
    <row r="384" spans="1:7" x14ac:dyDescent="0.15">
      <c r="A384" t="str">
        <f>HYPERLINK("./new_k5/query_cmdrels_weight_analyze/0.7_0.1_0.2/ul_24441.xlsx","ul_24441")</f>
        <v>ul_24441</v>
      </c>
      <c r="B384">
        <v>0</v>
      </c>
      <c r="C384">
        <v>0</v>
      </c>
      <c r="D384">
        <v>0</v>
      </c>
      <c r="E384">
        <v>0.25</v>
      </c>
      <c r="F384">
        <v>0</v>
      </c>
      <c r="G384">
        <v>0.25</v>
      </c>
    </row>
    <row r="385" spans="1:7" x14ac:dyDescent="0.15">
      <c r="A385" t="str">
        <f>HYPERLINK("./new_k5/query_cmdrels_weight_analyze/0.7_0.1_0.2/ul_246535.xlsx","ul_246535")</f>
        <v>ul_246535</v>
      </c>
      <c r="B385">
        <v>0.2</v>
      </c>
      <c r="C385">
        <v>0.2</v>
      </c>
      <c r="D385">
        <v>0.2</v>
      </c>
      <c r="E385">
        <v>0.2</v>
      </c>
      <c r="F385">
        <v>0.2</v>
      </c>
      <c r="G385">
        <v>0.42</v>
      </c>
    </row>
    <row r="386" spans="1:7" x14ac:dyDescent="0.15">
      <c r="A386" t="str">
        <f>HYPERLINK("./new_k5/query_cmdrels_weight_analyze/0.7_0.1_0.2/ul_259791.xlsx","ul_259791")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HYPERLINK("./new_k5/query_cmdrels_weight_analyze/0.7_0.1_0.2/ul_273971.xlsx","ul_273971")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0.16666666666666671</v>
      </c>
      <c r="F387">
        <v>0.43333333333333329</v>
      </c>
      <c r="G387">
        <v>0.23333333333333331</v>
      </c>
    </row>
    <row r="388" spans="1:7" x14ac:dyDescent="0.15">
      <c r="A388" t="str">
        <f>HYPERLINK("./new_k5/query_cmdrels_weight_analyze/0.7_0.1_0.2/ul_28553.xlsx","ul_28553")</f>
        <v>ul_28553</v>
      </c>
      <c r="B388">
        <v>0.25</v>
      </c>
      <c r="C388">
        <v>0</v>
      </c>
      <c r="D388">
        <v>0.5</v>
      </c>
      <c r="E388">
        <v>0.125</v>
      </c>
      <c r="F388">
        <v>0.5</v>
      </c>
      <c r="G388">
        <v>0.125</v>
      </c>
    </row>
    <row r="389" spans="1:7" x14ac:dyDescent="0.15">
      <c r="A389" t="str">
        <f>HYPERLINK("./new_k5/query_cmdrels_weight_analyze/0.7_0.1_0.2/ul_288521.xlsx","ul_288521")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HYPERLINK("./new_k5/query_cmdrels_weight_analyze/0.7_0.1_0.2/ul_32290.xlsx","ul_32290")</f>
        <v>ul_32290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6.25E-2</v>
      </c>
    </row>
    <row r="391" spans="1:7" x14ac:dyDescent="0.15">
      <c r="A391" t="str">
        <f>HYPERLINK("./new_k5/query_cmdrels_weight_analyze/0.7_0.1_0.2/ul_328882.xlsx","ul_328882")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HYPERLINK("./new_k5/query_cmdrels_weight_analyze/0.7_0.1_0.2/ul_35131.xlsx","ul_35131")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0.8666666666666667</v>
      </c>
    </row>
    <row r="393" spans="1:7" x14ac:dyDescent="0.15">
      <c r="A393" t="str">
        <f>HYPERLINK("./new_k5/query_cmdrels_weight_analyze/0.7_0.1_0.2/ul_35333.xlsx","ul_35333")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HYPERLINK("./new_k5/query_cmdrels_weight_analyze/0.7_0.1_0.2/ul_35711.xlsx","ul_35711")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HYPERLINK("./new_k5/query_cmdrels_weight_analyze/0.7_0.1_0.2/ul_3575.xlsx","ul_3575")</f>
        <v>ul_3575</v>
      </c>
      <c r="B395">
        <v>0</v>
      </c>
      <c r="C395">
        <v>0.16666666666666671</v>
      </c>
      <c r="D395">
        <v>8.3333333333333329E-2</v>
      </c>
      <c r="E395">
        <v>0.16666666666666671</v>
      </c>
      <c r="F395">
        <v>8.3333333333333329E-2</v>
      </c>
      <c r="G395">
        <v>0.16666666666666671</v>
      </c>
    </row>
    <row r="396" spans="1:7" x14ac:dyDescent="0.15">
      <c r="A396" t="str">
        <f>HYPERLINK("./new_k5/query_cmdrels_weight_analyze/0.7_0.1_0.2/ul_35832.xlsx","ul_35832")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HYPERLINK("./new_k5/query_cmdrels_weight_analyze/0.7_0.1_0.2/ul_370318.xlsx","ul_370318")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0.23809523809523811</v>
      </c>
      <c r="F397">
        <v>0.14285714285714279</v>
      </c>
      <c r="G397">
        <v>0.34523809523809518</v>
      </c>
    </row>
    <row r="398" spans="1:7" x14ac:dyDescent="0.15">
      <c r="A398" t="str">
        <f>HYPERLINK("./new_k5/query_cmdrels_weight_analyze/0.7_0.1_0.2/ul_37329.xlsx","ul_37329")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0.55555555555555547</v>
      </c>
      <c r="F398">
        <v>0.33333333333333331</v>
      </c>
      <c r="G398">
        <v>0.55555555555555547</v>
      </c>
    </row>
    <row r="399" spans="1:7" x14ac:dyDescent="0.15">
      <c r="A399" t="str">
        <f>HYPERLINK("./new_k5/query_cmdrels_weight_analyze/0.7_0.1_0.2/ul_38209.xlsx","ul_38209")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HYPERLINK("./new_k5/query_cmdrels_weight_analyze/0.7_0.1_0.2/ul_41246.xlsx","ul_41246")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HYPERLINK("./new_k5/query_cmdrels_weight_analyze/0.7_0.1_0.2/ul_41362.xlsx","ul_41362")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6.25E-2</v>
      </c>
    </row>
    <row r="402" spans="1:7" x14ac:dyDescent="0.15">
      <c r="A402" t="str">
        <f>HYPERLINK("./new_k5/query_cmdrels_weight_analyze/0.7_0.1_0.2/ul_48200.xlsx","ul_48200")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HYPERLINK("./new_k5/query_cmdrels_weight_analyze/0.7_0.1_0.2/ul_50098.xlsx","ul_50098")</f>
        <v>ul_50098</v>
      </c>
      <c r="B403">
        <v>0</v>
      </c>
      <c r="C403">
        <v>0.1</v>
      </c>
      <c r="D403">
        <v>0.1166666666666667</v>
      </c>
      <c r="E403">
        <v>0.16666666666666671</v>
      </c>
      <c r="F403">
        <v>0.1166666666666667</v>
      </c>
      <c r="G403">
        <v>0.24166666666666661</v>
      </c>
    </row>
    <row r="404" spans="1:7" x14ac:dyDescent="0.15">
      <c r="A404" t="str">
        <f>HYPERLINK("./new_k5/query_cmdrels_weight_analyze/0.7_0.1_0.2/ul_50785.xlsx","ul_50785")</f>
        <v>ul_50785</v>
      </c>
      <c r="B404">
        <v>0.25</v>
      </c>
      <c r="C404">
        <v>0</v>
      </c>
      <c r="D404">
        <v>0.25</v>
      </c>
      <c r="E404">
        <v>0.125</v>
      </c>
      <c r="F404">
        <v>0.25</v>
      </c>
      <c r="G404">
        <v>0.125</v>
      </c>
    </row>
    <row r="405" spans="1:7" x14ac:dyDescent="0.15">
      <c r="A405" t="str">
        <f>HYPERLINK("./new_k5/query_cmdrels_weight_analyze/0.7_0.1_0.2/ul_5085.xlsx","ul_5085")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HYPERLINK("./new_k5/query_cmdrels_weight_analyze/0.7_0.1_0.2/ul_53737.xlsx","ul_53737")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HYPERLINK("./new_k5/query_cmdrels_weight_analyze/0.7_0.1_0.2/ul_55125.xlsx","ul_55125")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HYPERLINK("./new_k5/query_cmdrels_weight_analyze/0.7_0.1_0.2/ul_56453.xlsx","ul_56453")</f>
        <v>ul_56453</v>
      </c>
      <c r="B408">
        <v>0</v>
      </c>
      <c r="C408">
        <v>0</v>
      </c>
      <c r="D408">
        <v>8.3333333333333329E-2</v>
      </c>
      <c r="E408">
        <v>0.125</v>
      </c>
      <c r="F408">
        <v>8.3333333333333329E-2</v>
      </c>
      <c r="G408">
        <v>0.125</v>
      </c>
    </row>
    <row r="409" spans="1:7" x14ac:dyDescent="0.15">
      <c r="A409" t="str">
        <f>HYPERLINK("./new_k5/query_cmdrels_weight_analyze/0.7_0.1_0.2/ul_63648.xlsx","ul_63648")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HYPERLINK("./new_k5/query_cmdrels_weight_analyze/0.7_0.1_0.2/ul_6402.xlsx","ul_6402")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0.33333333333333331</v>
      </c>
    </row>
    <row r="411" spans="1:7" x14ac:dyDescent="0.15">
      <c r="A411" t="str">
        <f>HYPERLINK("./new_k5/query_cmdrels_weight_analyze/0.7_0.1_0.2/ul_65106.xlsx","ul_65106")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0.91666666666666663</v>
      </c>
    </row>
    <row r="412" spans="1:7" x14ac:dyDescent="0.15">
      <c r="A412" t="str">
        <f>HYPERLINK("./new_k5/query_cmdrels_weight_analyze/0.7_0.1_0.2/ul_65932.xlsx","ul_65932")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HYPERLINK("./new_k5/query_cmdrels_weight_analyze/0.7_0.1_0.2/ul_6596.xlsx","ul_6596")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HYPERLINK("./new_k5/query_cmdrels_weight_analyze/0.7_0.1_0.2/ul_67503.xlsx","ul_67503")</f>
        <v>ul_67503</v>
      </c>
      <c r="B414">
        <v>0</v>
      </c>
      <c r="C414">
        <v>0.5</v>
      </c>
      <c r="D414">
        <v>0.25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HYPERLINK("./new_k5/query_cmdrels_weight_analyze/0.7_0.1_0.2/ul_67592.xlsx","ul_67592")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HYPERLINK("./new_k5/query_cmdrels_weight_analyze/0.7_0.1_0.2/ul_70581.xlsx","ul_70581")</f>
        <v>ul_70581</v>
      </c>
      <c r="B416">
        <v>0</v>
      </c>
      <c r="C416">
        <v>0.2</v>
      </c>
      <c r="D416">
        <v>0.1</v>
      </c>
      <c r="E416">
        <v>0.6</v>
      </c>
      <c r="F416">
        <v>0.1</v>
      </c>
      <c r="G416">
        <v>0.6</v>
      </c>
    </row>
    <row r="417" spans="1:7" x14ac:dyDescent="0.15">
      <c r="A417" t="str">
        <f>HYPERLINK("./new_k5/query_cmdrels_weight_analyze/0.7_0.1_0.2/ul_70614.xlsx","ul_70614")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HYPERLINK("./new_k5/query_cmdrels_weight_analyze/0.7_0.1_0.2/ul_71465.xlsx","ul_71465")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HYPERLINK("./new_k5/query_cmdrels_weight_analyze/0.7_0.1_0.2/ul_7226.xlsx","ul_7226")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0.33333333333333331</v>
      </c>
      <c r="F419">
        <v>0.33333333333333331</v>
      </c>
      <c r="G419">
        <v>0.5</v>
      </c>
    </row>
    <row r="420" spans="1:7" x14ac:dyDescent="0.15">
      <c r="A420" t="str">
        <f>HYPERLINK("./new_k5/query_cmdrels_weight_analyze/0.7_0.1_0.2/ul_78182.xlsx","ul_78182")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HYPERLINK("./new_k5/query_cmdrels_weight_analyze/0.7_0.1_0.2/ul_79678.xlsx","ul_79678")</f>
        <v>ul_79678</v>
      </c>
      <c r="B421">
        <v>0</v>
      </c>
      <c r="C421">
        <v>0</v>
      </c>
      <c r="D421">
        <v>0.25</v>
      </c>
      <c r="E421">
        <v>0.16666666666666671</v>
      </c>
      <c r="F421">
        <v>0.25</v>
      </c>
      <c r="G421">
        <v>0.16666666666666671</v>
      </c>
    </row>
    <row r="422" spans="1:7" x14ac:dyDescent="0.15">
      <c r="A422" t="str">
        <f>HYPERLINK("./new_k5/query_cmdrels_weight_analyze/0.7_0.1_0.2/ul_79702.xlsx","ul_79702")</f>
        <v>ul_79702</v>
      </c>
      <c r="B422">
        <v>0</v>
      </c>
      <c r="C422">
        <v>0.33333333333333331</v>
      </c>
      <c r="D422">
        <v>0</v>
      </c>
      <c r="E422">
        <v>0.66666666666666663</v>
      </c>
      <c r="F422">
        <v>0</v>
      </c>
      <c r="G422">
        <v>0.8666666666666667</v>
      </c>
    </row>
    <row r="423" spans="1:7" x14ac:dyDescent="0.15">
      <c r="A423" t="str">
        <f>HYPERLINK("./new_k5/query_cmdrels_weight_analyze/0.7_0.1_0.2/ul_83593.xlsx","ul_83593")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HYPERLINK("./new_k5/query_cmdrels_weight_analyze/0.7_0.1_0.2/ul_84381.xlsx","ul_84381")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HYPERLINK("./new_k5/query_cmdrels_weight_analyze/0.7_0.1_0.2/ul_85180.xlsx","ul_85180")</f>
        <v>ul_85180</v>
      </c>
      <c r="B425">
        <v>0</v>
      </c>
      <c r="C425">
        <v>0.33333333333333331</v>
      </c>
      <c r="D425">
        <v>0.16666666666666671</v>
      </c>
      <c r="E425">
        <v>0.33333333333333331</v>
      </c>
      <c r="F425">
        <v>0.16666666666666671</v>
      </c>
      <c r="G425">
        <v>0.46666666666666662</v>
      </c>
    </row>
    <row r="426" spans="1:7" x14ac:dyDescent="0.15">
      <c r="A426" t="str">
        <f>HYPERLINK("./new_k5/query_cmdrels_weight_analyze/0.7_0.1_0.2/ul_86071.xlsx","ul_86071")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HYPERLINK("./new_k5/query_cmdrels_weight_analyze/0.7_0.1_0.2/ul_86729.xlsx","ul_86729")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HYPERLINK("./new_k5/query_cmdrels_weight_analyze/0.7_0.1_0.2/ul_88824.xlsx","ul_88824")</f>
        <v>ul_88824</v>
      </c>
      <c r="B428">
        <v>0</v>
      </c>
      <c r="C428">
        <v>0.33333333333333331</v>
      </c>
      <c r="D428">
        <v>0</v>
      </c>
      <c r="E428">
        <v>0.66666666666666663</v>
      </c>
      <c r="F428">
        <v>0</v>
      </c>
      <c r="G428">
        <v>0.66666666666666663</v>
      </c>
    </row>
    <row r="429" spans="1:7" x14ac:dyDescent="0.15">
      <c r="A429" t="str">
        <f>HYPERLINK("./new_k5/query_cmdrels_weight_analyze/0.7_0.1_0.2/ul_8945.xlsx","ul_8945")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HYPERLINK("./new_k5/query_cmdrels_weight_analyze/0.7_0.1_0.2/ul_89933.xlsx","ul_89933")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HYPERLINK("./new_k5/query_cmdrels_weight_analyze/0.7_0.1_0.2/ul_91297.xlsx","ul_91297")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HYPERLINK("./new_k5/query_cmdrels_weight_analyze/0.7_0.1_0.2/ul_9252.xlsx","ul_9252")</f>
        <v>ul_9252</v>
      </c>
      <c r="B432">
        <v>0</v>
      </c>
      <c r="C432">
        <v>0</v>
      </c>
      <c r="D432">
        <v>0.23333333333333331</v>
      </c>
      <c r="E432">
        <v>6.6666666666666666E-2</v>
      </c>
      <c r="F432">
        <v>0.23333333333333331</v>
      </c>
      <c r="G432">
        <v>0.1466666666666667</v>
      </c>
    </row>
    <row r="433" spans="1:7" x14ac:dyDescent="0.15">
      <c r="A433" t="str">
        <f>HYPERLINK("./new_k5/query_cmdrels_weight_analyze/0.7_0.1_0.2/ul_92560.xlsx","ul_92560")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0.75</v>
      </c>
    </row>
    <row r="434" spans="1:7" x14ac:dyDescent="0.15">
      <c r="A434" t="str">
        <f>HYPERLINK("./new_k5/query_cmdrels_weight_analyze/0.7_0.1_0.2/ul_92799.xlsx","ul_92799")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0.27777777777777768</v>
      </c>
      <c r="F434">
        <v>0.53611111111111109</v>
      </c>
      <c r="G434">
        <v>0.53611111111111109</v>
      </c>
    </row>
    <row r="435" spans="1:7" x14ac:dyDescent="0.15">
      <c r="A435" t="str">
        <f>HYPERLINK("./new_k5/query_cmdrels_weight_analyze/0.7_0.1_0.2/ul_93139.xlsx","ul_93139")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HYPERLINK("./new_k5/query_cmdrels_weight_analyze/0.7_0.1_0.2/ul_98461.xlsx","ul_98461")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HYPERLINK("./new_k5/query_cmdrels_weight_analyze/0.7_0.2_0.1/au_102733.xlsx","au_102733")</f>
        <v>au_102733</v>
      </c>
      <c r="B3">
        <v>0.25</v>
      </c>
      <c r="C3">
        <v>0</v>
      </c>
      <c r="D3">
        <v>0.5</v>
      </c>
      <c r="E3">
        <v>0.125</v>
      </c>
      <c r="F3">
        <v>0.5</v>
      </c>
      <c r="G3">
        <v>0.125</v>
      </c>
    </row>
    <row r="4" spans="1:7" x14ac:dyDescent="0.15">
      <c r="A4" t="str">
        <f>HYPERLINK("./new_k5/query_cmdrels_weight_analyze/0.7_0.2_0.1/au_1029436.xlsx","au_1029436")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HYPERLINK("./new_k5/query_cmdrels_weight_analyze/0.7_0.2_0.1/au_1029502.xlsx","au_1029502")</f>
        <v>au_1029502</v>
      </c>
      <c r="B5">
        <v>0.25</v>
      </c>
      <c r="C5">
        <v>0</v>
      </c>
      <c r="D5">
        <v>0.25</v>
      </c>
      <c r="E5">
        <v>8.3333333333333329E-2</v>
      </c>
      <c r="F5">
        <v>0.375</v>
      </c>
      <c r="G5">
        <v>8.3333333333333329E-2</v>
      </c>
    </row>
    <row r="6" spans="1:7" x14ac:dyDescent="0.15">
      <c r="A6" t="str">
        <f>HYPERLINK("./new_k5/query_cmdrels_weight_analyze/0.7_0.2_0.1/au_1029531.xlsx","au_1029531")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HYPERLINK("./new_k5/query_cmdrels_weight_analyze/0.7_0.2_0.1/au_104542.xlsx","au_104542")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HYPERLINK("./new_k5/query_cmdrels_weight_analyze/0.7_0.2_0.1/au_109070.xlsx","au_109070")</f>
        <v>au_109070</v>
      </c>
      <c r="B8">
        <v>0</v>
      </c>
      <c r="C8">
        <v>0</v>
      </c>
      <c r="D8">
        <v>0.23333333333333331</v>
      </c>
      <c r="E8">
        <v>0</v>
      </c>
      <c r="F8">
        <v>0.3833333333333333</v>
      </c>
      <c r="G8">
        <v>0.05</v>
      </c>
    </row>
    <row r="9" spans="1:7" x14ac:dyDescent="0.15">
      <c r="A9" t="str">
        <f>HYPERLINK("./new_k5/query_cmdrels_weight_analyze/0.7_0.2_0.1/au_109381.xlsx","au_109381")</f>
        <v>au_109381</v>
      </c>
      <c r="B9">
        <v>0</v>
      </c>
      <c r="C9">
        <v>0.5</v>
      </c>
      <c r="D9">
        <v>0.25</v>
      </c>
      <c r="E9">
        <v>0.5</v>
      </c>
      <c r="F9">
        <v>0.25</v>
      </c>
      <c r="G9">
        <v>0.7</v>
      </c>
    </row>
    <row r="10" spans="1:7" x14ac:dyDescent="0.15">
      <c r="A10" t="str">
        <f>HYPERLINK("./new_k5/query_cmdrels_weight_analyze/0.7_0.2_0.1/au_110477.xlsx","au_110477")</f>
        <v>au_110477</v>
      </c>
      <c r="B10">
        <v>0.25</v>
      </c>
      <c r="C10">
        <v>0.25</v>
      </c>
      <c r="D10">
        <v>0.5</v>
      </c>
      <c r="E10">
        <v>0.75</v>
      </c>
      <c r="F10">
        <v>0.5</v>
      </c>
      <c r="G10">
        <v>0.75</v>
      </c>
    </row>
    <row r="11" spans="1:7" x14ac:dyDescent="0.15">
      <c r="A11" t="str">
        <f>HYPERLINK("./new_k5/query_cmdrels_weight_analyze/0.7_0.2_0.1/au_111678.xlsx","au_111678")</f>
        <v>au_111678</v>
      </c>
      <c r="B11">
        <v>0</v>
      </c>
      <c r="C11">
        <v>0.33333333333333331</v>
      </c>
      <c r="D11">
        <v>0.1111111111111111</v>
      </c>
      <c r="E11">
        <v>0.33333333333333331</v>
      </c>
      <c r="F11">
        <v>0.1111111111111111</v>
      </c>
      <c r="G11">
        <v>0.33333333333333331</v>
      </c>
    </row>
    <row r="12" spans="1:7" x14ac:dyDescent="0.15">
      <c r="A12" t="str">
        <f>HYPERLINK("./new_k5/query_cmdrels_weight_analyze/0.7_0.2_0.1/au_112512.xlsx","au_112512")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HYPERLINK("./new_k5/query_cmdrels_weight_analyze/0.7_0.2_0.1/au_115369.xlsx","au_115369")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HYPERLINK("./new_k5/query_cmdrels_weight_analyze/0.7_0.2_0.1/au_11789.xlsx","au_11789")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HYPERLINK("./new_k5/query_cmdrels_weight_analyze/0.7_0.2_0.1/au_117950.xlsx","au_117950")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0.32500000000000001</v>
      </c>
    </row>
    <row r="16" spans="1:7" x14ac:dyDescent="0.15">
      <c r="A16" t="str">
        <f>HYPERLINK("./new_k5/query_cmdrels_weight_analyze/0.7_0.2_0.1/au_122113.xlsx","au_122113")</f>
        <v>au_122113</v>
      </c>
      <c r="B16">
        <v>0.25</v>
      </c>
      <c r="C16">
        <v>0</v>
      </c>
      <c r="D16">
        <v>0.25</v>
      </c>
      <c r="E16">
        <v>8.3333333333333329E-2</v>
      </c>
      <c r="F16">
        <v>0.25</v>
      </c>
      <c r="G16">
        <v>0.20833333333333329</v>
      </c>
    </row>
    <row r="17" spans="1:7" x14ac:dyDescent="0.15">
      <c r="A17" t="str">
        <f>HYPERLINK("./new_k5/query_cmdrels_weight_analyze/0.7_0.2_0.1/au_123798.xlsx","au_123798")</f>
        <v>au_123798</v>
      </c>
      <c r="B17">
        <v>0</v>
      </c>
      <c r="C17">
        <v>0</v>
      </c>
      <c r="D17">
        <v>5.5555555555555552E-2</v>
      </c>
      <c r="E17">
        <v>8.3333333333333329E-2</v>
      </c>
      <c r="F17">
        <v>0.23888888888888879</v>
      </c>
      <c r="G17">
        <v>0.26666666666666672</v>
      </c>
    </row>
    <row r="18" spans="1:7" x14ac:dyDescent="0.15">
      <c r="A18" t="str">
        <f>HYPERLINK("./new_k5/query_cmdrels_weight_analyze/0.7_0.2_0.1/au_125257.xlsx","au_125257")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HYPERLINK("./new_k5/query_cmdrels_weight_analyze/0.7_0.2_0.1/au_126153.xlsx","au_126153")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0.33333333333333331</v>
      </c>
      <c r="F19">
        <v>0.45833333333333331</v>
      </c>
      <c r="G19">
        <v>0.43333333333333329</v>
      </c>
    </row>
    <row r="20" spans="1:7" x14ac:dyDescent="0.15">
      <c r="A20" t="str">
        <f>HYPERLINK("./new_k5/query_cmdrels_weight_analyze/0.7_0.2_0.1/au_127326.xlsx","au_127326")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HYPERLINK("./new_k5/query_cmdrels_weight_analyze/0.7_0.2_0.1/au_128463.xlsx","au_128463")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HYPERLINK("./new_k5/query_cmdrels_weight_analyze/0.7_0.2_0.1/au_130393.xlsx","au_130393")</f>
        <v>au_130393</v>
      </c>
      <c r="B22">
        <v>0</v>
      </c>
      <c r="C22">
        <v>0</v>
      </c>
      <c r="D22">
        <v>0.125</v>
      </c>
      <c r="E22">
        <v>0.125</v>
      </c>
      <c r="F22">
        <v>0.125</v>
      </c>
      <c r="G22">
        <v>0.25</v>
      </c>
    </row>
    <row r="23" spans="1:7" x14ac:dyDescent="0.15">
      <c r="A23" t="str">
        <f>HYPERLINK("./new_k5/query_cmdrels_weight_analyze/0.7_0.2_0.1/au_131570.xlsx","au_131570")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HYPERLINK("./new_k5/query_cmdrels_weight_analyze/0.7_0.2_0.1/au_133318.xlsx","au_133318")</f>
        <v>au_133318</v>
      </c>
      <c r="B24">
        <v>0</v>
      </c>
      <c r="C24">
        <v>0.25</v>
      </c>
      <c r="D24">
        <v>0</v>
      </c>
      <c r="E24">
        <v>0.41666666666666657</v>
      </c>
      <c r="F24">
        <v>0</v>
      </c>
      <c r="G24">
        <v>0.41666666666666657</v>
      </c>
    </row>
    <row r="25" spans="1:7" x14ac:dyDescent="0.15">
      <c r="A25" t="str">
        <f>HYPERLINK("./new_k5/query_cmdrels_weight_analyze/0.7_0.2_0.1/au_133343.xlsx","au_133343")</f>
        <v>au_133343</v>
      </c>
      <c r="B25">
        <v>0</v>
      </c>
      <c r="C25">
        <v>0.33333333333333331</v>
      </c>
      <c r="D25">
        <v>0</v>
      </c>
      <c r="E25">
        <v>0.66666666666666663</v>
      </c>
      <c r="F25">
        <v>0</v>
      </c>
      <c r="G25">
        <v>0.66666666666666663</v>
      </c>
    </row>
    <row r="26" spans="1:7" x14ac:dyDescent="0.15">
      <c r="A26" t="str">
        <f>HYPERLINK("./new_k5/query_cmdrels_weight_analyze/0.7_0.2_0.1/au_133389.xlsx","au_133389")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HYPERLINK("./new_k5/query_cmdrels_weight_analyze/0.7_0.2_0.1/au_141277.xlsx","au_141277")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HYPERLINK("./new_k5/query_cmdrels_weight_analyze/0.7_0.2_0.1/au_143819.xlsx","au_143819")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HYPERLINK("./new_k5/query_cmdrels_weight_analyze/0.7_0.2_0.1/au_145935.xlsx","au_145935")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HYPERLINK("./new_k5/query_cmdrels_weight_analyze/0.7_0.2_0.1/au_147241.xlsx","au_147241")</f>
        <v>au_147241</v>
      </c>
      <c r="B30">
        <v>0</v>
      </c>
      <c r="C30">
        <v>0</v>
      </c>
      <c r="D30">
        <v>0.29166666666666657</v>
      </c>
      <c r="E30">
        <v>0.29166666666666657</v>
      </c>
      <c r="F30">
        <v>0.29166666666666657</v>
      </c>
      <c r="G30">
        <v>0.47916666666666657</v>
      </c>
    </row>
    <row r="31" spans="1:7" x14ac:dyDescent="0.15">
      <c r="A31" t="str">
        <f>HYPERLINK("./new_k5/query_cmdrels_weight_analyze/0.7_0.2_0.1/au_147800.xlsx","au_147800")</f>
        <v>au_147800</v>
      </c>
      <c r="B31">
        <v>0</v>
      </c>
      <c r="C31">
        <v>0.33333333333333331</v>
      </c>
      <c r="D31">
        <v>0.1111111111111111</v>
      </c>
      <c r="E31">
        <v>0.33333333333333331</v>
      </c>
      <c r="F31">
        <v>0.1111111111111111</v>
      </c>
      <c r="G31">
        <v>0.33333333333333331</v>
      </c>
    </row>
    <row r="32" spans="1:7" x14ac:dyDescent="0.15">
      <c r="A32" t="str">
        <f>HYPERLINK("./new_k5/query_cmdrels_weight_analyze/0.7_0.2_0.1/au_148321.xlsx","au_148321")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0.40277777777777768</v>
      </c>
    </row>
    <row r="33" spans="1:7" x14ac:dyDescent="0.15">
      <c r="A33" t="str">
        <f>HYPERLINK("./new_k5/query_cmdrels_weight_analyze/0.7_0.2_0.1/au_148638.xlsx","au_148638")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HYPERLINK("./new_k5/query_cmdrels_weight_analyze/0.7_0.2_0.1/au_151049.xlsx","au_151049")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0.33333333333333331</v>
      </c>
      <c r="F34">
        <v>0.66666666666666663</v>
      </c>
      <c r="G34">
        <v>0.5</v>
      </c>
    </row>
    <row r="35" spans="1:7" x14ac:dyDescent="0.15">
      <c r="A35" t="str">
        <f>HYPERLINK("./new_k5/query_cmdrels_weight_analyze/0.7_0.2_0.1/au_151941.xlsx","au_151941")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HYPERLINK("./new_k5/query_cmdrels_weight_analyze/0.7_0.2_0.1/au_152297.xlsx","au_152297")</f>
        <v>au_152297</v>
      </c>
      <c r="B36">
        <v>0</v>
      </c>
      <c r="C36">
        <v>0</v>
      </c>
      <c r="D36">
        <v>7.1428571428571425E-2</v>
      </c>
      <c r="E36">
        <v>7.1428571428571425E-2</v>
      </c>
      <c r="F36">
        <v>7.1428571428571425E-2</v>
      </c>
      <c r="G36">
        <v>0.22857142857142859</v>
      </c>
    </row>
    <row r="37" spans="1:7" x14ac:dyDescent="0.15">
      <c r="A37" t="str">
        <f>HYPERLINK("./new_k5/query_cmdrels_weight_analyze/0.7_0.2_0.1/au_153976.xlsx","au_153976")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0.16666666666666671</v>
      </c>
      <c r="F37">
        <v>0.33333333333333331</v>
      </c>
      <c r="G37">
        <v>0.35</v>
      </c>
    </row>
    <row r="38" spans="1:7" x14ac:dyDescent="0.15">
      <c r="A38" t="str">
        <f>HYPERLINK("./new_k5/query_cmdrels_weight_analyze/0.7_0.2_0.1/au_154431.xlsx","au_154431")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HYPERLINK("./new_k5/query_cmdrels_weight_analyze/0.7_0.2_0.1/au_159708.xlsx","au_159708")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0.33333333333333331</v>
      </c>
      <c r="F39">
        <v>0.33333333333333331</v>
      </c>
      <c r="G39">
        <v>0.33333333333333331</v>
      </c>
    </row>
    <row r="40" spans="1:7" x14ac:dyDescent="0.15">
      <c r="A40" t="str">
        <f>HYPERLINK("./new_k5/query_cmdrels_weight_analyze/0.7_0.2_0.1/au_160869.xlsx","au_160869")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HYPERLINK("./new_k5/query_cmdrels_weight_analyze/0.7_0.2_0.1/au_161313.xlsx","au_161313")</f>
        <v>au_161313</v>
      </c>
      <c r="B41">
        <v>0.5</v>
      </c>
      <c r="C41">
        <v>0</v>
      </c>
      <c r="D41">
        <v>0.5</v>
      </c>
      <c r="E41">
        <v>0.16666666666666671</v>
      </c>
      <c r="F41">
        <v>0.5</v>
      </c>
      <c r="G41">
        <v>0.16666666666666671</v>
      </c>
    </row>
    <row r="42" spans="1:7" x14ac:dyDescent="0.15">
      <c r="A42" t="str">
        <f>HYPERLINK("./new_k5/query_cmdrels_weight_analyze/0.7_0.2_0.1/au_162075.xlsx","au_162075")</f>
        <v>au_162075</v>
      </c>
      <c r="B42">
        <v>0.25</v>
      </c>
      <c r="C42">
        <v>0.25</v>
      </c>
      <c r="D42">
        <v>0.5</v>
      </c>
      <c r="E42">
        <v>0.5</v>
      </c>
      <c r="F42">
        <v>0.5</v>
      </c>
      <c r="G42">
        <v>0.5</v>
      </c>
    </row>
    <row r="43" spans="1:7" x14ac:dyDescent="0.15">
      <c r="A43" t="str">
        <f>HYPERLINK("./new_k5/query_cmdrels_weight_analyze/0.7_0.2_0.1/au_16277.xlsx","au_16277")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0.83333333333333337</v>
      </c>
    </row>
    <row r="44" spans="1:7" x14ac:dyDescent="0.15">
      <c r="A44" t="str">
        <f>HYPERLINK("./new_k5/query_cmdrels_weight_analyze/0.7_0.2_0.1/au_163155.xlsx","au_163155")</f>
        <v>au_163155</v>
      </c>
      <c r="B44">
        <v>0.125</v>
      </c>
      <c r="C44">
        <v>0.125</v>
      </c>
      <c r="D44">
        <v>0.375</v>
      </c>
      <c r="E44">
        <v>0.25</v>
      </c>
      <c r="F44">
        <v>0.5</v>
      </c>
      <c r="G44">
        <v>0.44374999999999998</v>
      </c>
    </row>
    <row r="45" spans="1:7" x14ac:dyDescent="0.15">
      <c r="A45" t="str">
        <f>HYPERLINK("./new_k5/query_cmdrels_weight_analyze/0.7_0.2_0.1/au_164473.xlsx","au_164473")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HYPERLINK("./new_k5/query_cmdrels_weight_analyze/0.7_0.2_0.1/au_16584.xlsx","au_16584")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0.15151515151515149</v>
      </c>
      <c r="F46">
        <v>0.13636363636363641</v>
      </c>
      <c r="G46">
        <v>0.20606060606060611</v>
      </c>
    </row>
    <row r="47" spans="1:7" x14ac:dyDescent="0.15">
      <c r="A47" t="str">
        <f>HYPERLINK("./new_k5/query_cmdrels_weight_analyze/0.7_0.2_0.1/au_166420.xlsx","au_166420")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HYPERLINK("./new_k5/query_cmdrels_weight_analyze/0.7_0.2_0.1/au_169473.xlsx","au_169473")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0.16666666666666671</v>
      </c>
      <c r="F48">
        <v>0.43333333333333329</v>
      </c>
      <c r="G48">
        <v>0.35</v>
      </c>
    </row>
    <row r="49" spans="1:7" x14ac:dyDescent="0.15">
      <c r="A49" t="str">
        <f>HYPERLINK("./new_k5/query_cmdrels_weight_analyze/0.7_0.2_0.1/au_169516.xlsx","au_169516")</f>
        <v>au_169516</v>
      </c>
      <c r="B49">
        <v>0.25</v>
      </c>
      <c r="C49">
        <v>0.25</v>
      </c>
      <c r="D49">
        <v>0.25</v>
      </c>
      <c r="E49">
        <v>0.5</v>
      </c>
      <c r="F49">
        <v>0.25</v>
      </c>
      <c r="G49">
        <v>0.5</v>
      </c>
    </row>
    <row r="50" spans="1:7" x14ac:dyDescent="0.15">
      <c r="A50" t="str">
        <f>HYPERLINK("./new_k5/query_cmdrels_weight_analyze/0.7_0.2_0.1/au_174292.xlsx","au_174292")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HYPERLINK("./new_k5/query_cmdrels_weight_analyze/0.7_0.2_0.1/au_178481.xlsx","au_178481")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HYPERLINK("./new_k5/query_cmdrels_weight_analyze/0.7_0.2_0.1/au_180925.xlsx","au_180925")</f>
        <v>au_180925</v>
      </c>
      <c r="B52">
        <v>0.5</v>
      </c>
      <c r="C52">
        <v>0</v>
      </c>
      <c r="D52">
        <v>0.5</v>
      </c>
      <c r="E52">
        <v>0.25</v>
      </c>
      <c r="F52">
        <v>0.5</v>
      </c>
      <c r="G52">
        <v>0.25</v>
      </c>
    </row>
    <row r="53" spans="1:7" x14ac:dyDescent="0.15">
      <c r="A53" t="str">
        <f>HYPERLINK("./new_k5/query_cmdrels_weight_analyze/0.7_0.2_0.1/au_187888.xlsx","au_187888")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HYPERLINK("./new_k5/query_cmdrels_weight_analyze/0.7_0.2_0.1/au_191390.xlsx","au_191390")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HYPERLINK("./new_k5/query_cmdrels_weight_analyze/0.7_0.2_0.1/au_192798.xlsx","au_192798")</f>
        <v>au_192798</v>
      </c>
      <c r="B55">
        <v>0</v>
      </c>
      <c r="C55">
        <v>0</v>
      </c>
      <c r="D55">
        <v>0</v>
      </c>
      <c r="E55">
        <v>0.5</v>
      </c>
      <c r="F55">
        <v>0</v>
      </c>
      <c r="G55">
        <v>0.5</v>
      </c>
    </row>
    <row r="56" spans="1:7" x14ac:dyDescent="0.15">
      <c r="A56" t="str">
        <f>HYPERLINK("./new_k5/query_cmdrels_weight_analyze/0.7_0.2_0.1/au_201775.xlsx","au_201775")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0.33333333333333331</v>
      </c>
      <c r="F56">
        <v>0.66666666666666663</v>
      </c>
      <c r="G56">
        <v>0.70000000000000007</v>
      </c>
    </row>
    <row r="57" spans="1:7" x14ac:dyDescent="0.15">
      <c r="A57" t="str">
        <f>HYPERLINK("./new_k5/query_cmdrels_weight_analyze/0.7_0.2_0.1/au_204166.xlsx","au_204166")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HYPERLINK("./new_k5/query_cmdrels_weight_analyze/0.7_0.2_0.1/au_207447.xlsx","au_207447")</f>
        <v>au_207447</v>
      </c>
      <c r="B58">
        <v>0.33333333333333331</v>
      </c>
      <c r="C58">
        <v>0</v>
      </c>
      <c r="D58">
        <v>0.33333333333333331</v>
      </c>
      <c r="E58">
        <v>0.16666666666666671</v>
      </c>
      <c r="F58">
        <v>0.33333333333333331</v>
      </c>
      <c r="G58">
        <v>0.16666666666666671</v>
      </c>
    </row>
    <row r="59" spans="1:7" x14ac:dyDescent="0.15">
      <c r="A59" t="str">
        <f>HYPERLINK("./new_k5/query_cmdrels_weight_analyze/0.7_0.2_0.1/au_210680.xlsx","au_210680")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HYPERLINK("./new_k5/query_cmdrels_weight_analyze/0.7_0.2_0.1/au_214246.xlsx","au_214246")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HYPERLINK("./new_k5/query_cmdrels_weight_analyze/0.7_0.2_0.1/au_214643.xlsx","au_214643")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HYPERLINK("./new_k5/query_cmdrels_weight_analyze/0.7_0.2_0.1/au_2194.xlsx","au_2194")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HYPERLINK("./new_k5/query_cmdrels_weight_analyze/0.7_0.2_0.1/au_221962.xlsx","au_221962")</f>
        <v>au_221962</v>
      </c>
      <c r="B63">
        <v>0</v>
      </c>
      <c r="C63">
        <v>0</v>
      </c>
      <c r="D63">
        <v>5.5555555555555552E-2</v>
      </c>
      <c r="E63">
        <v>8.3333333333333329E-2</v>
      </c>
      <c r="F63">
        <v>0.1388888888888889</v>
      </c>
      <c r="G63">
        <v>0.26666666666666672</v>
      </c>
    </row>
    <row r="64" spans="1:7" x14ac:dyDescent="0.15">
      <c r="A64" t="str">
        <f>HYPERLINK("./new_k5/query_cmdrels_weight_analyze/0.7_0.2_0.1/au_22608.xlsx","au_22608")</f>
        <v>au_22608</v>
      </c>
      <c r="B64">
        <v>0.33333333333333331</v>
      </c>
      <c r="C64">
        <v>0</v>
      </c>
      <c r="D64">
        <v>0.33333333333333331</v>
      </c>
      <c r="E64">
        <v>0.16666666666666671</v>
      </c>
      <c r="F64">
        <v>0.33333333333333331</v>
      </c>
      <c r="G64">
        <v>0.33333333333333331</v>
      </c>
    </row>
    <row r="65" spans="1:7" x14ac:dyDescent="0.15">
      <c r="A65" t="str">
        <f>HYPERLINK("./new_k5/query_cmdrels_weight_analyze/0.7_0.2_0.1/au_230698.xlsx","au_230698")</f>
        <v>au_230698</v>
      </c>
      <c r="B65">
        <v>0.125</v>
      </c>
      <c r="C65">
        <v>0.125</v>
      </c>
      <c r="D65">
        <v>0.25</v>
      </c>
      <c r="E65">
        <v>0.20833333333333329</v>
      </c>
      <c r="F65">
        <v>0.32500000000000001</v>
      </c>
      <c r="G65">
        <v>0.28333333333333333</v>
      </c>
    </row>
    <row r="66" spans="1:7" x14ac:dyDescent="0.15">
      <c r="A66" t="str">
        <f>HYPERLINK("./new_k5/query_cmdrels_weight_analyze/0.7_0.2_0.1/au_232442.xlsx","au_232442")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HYPERLINK("./new_k5/query_cmdrels_weight_analyze/0.7_0.2_0.1/au_233378.xlsx","au_233378")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HYPERLINK("./new_k5/query_cmdrels_weight_analyze/0.7_0.2_0.1/au_24027.xlsx","au_24027")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0.43333333333333329</v>
      </c>
    </row>
    <row r="69" spans="1:7" x14ac:dyDescent="0.15">
      <c r="A69" t="str">
        <f>HYPERLINK("./new_k5/query_cmdrels_weight_analyze/0.7_0.2_0.1/au_246647.xlsx","au_246647")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HYPERLINK("./new_k5/query_cmdrels_weight_analyze/0.7_0.2_0.1/au_254424.xlsx","au_254424")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HYPERLINK("./new_k5/query_cmdrels_weight_analyze/0.7_0.2_0.1/au_255890.xlsx","au_255890")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HYPERLINK("./new_k5/query_cmdrels_weight_analyze/0.7_0.2_0.1/au_257248.xlsx","au_257248")</f>
        <v>au_257248</v>
      </c>
      <c r="B72">
        <v>0</v>
      </c>
      <c r="C72">
        <v>0.14285714285714279</v>
      </c>
      <c r="D72">
        <v>0.16666666666666671</v>
      </c>
      <c r="E72">
        <v>0.23809523809523811</v>
      </c>
      <c r="F72">
        <v>0.25238095238095237</v>
      </c>
      <c r="G72">
        <v>0.32380952380952382</v>
      </c>
    </row>
    <row r="73" spans="1:7" x14ac:dyDescent="0.15">
      <c r="A73" t="str">
        <f>HYPERLINK("./new_k5/query_cmdrels_weight_analyze/0.7_0.2_0.1/au_259354.xlsx","au_259354")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0.42857142857142849</v>
      </c>
    </row>
    <row r="74" spans="1:7" x14ac:dyDescent="0.15">
      <c r="A74" t="str">
        <f>HYPERLINK("./new_k5/query_cmdrels_weight_analyze/0.7_0.2_0.1/au_263378.xlsx","au_263378")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0.47499999999999998</v>
      </c>
    </row>
    <row r="75" spans="1:7" x14ac:dyDescent="0.15">
      <c r="A75" t="str">
        <f>HYPERLINK("./new_k5/query_cmdrels_weight_analyze/0.7_0.2_0.1/au_264215.xlsx","au_264215")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HYPERLINK("./new_k5/query_cmdrels_weight_analyze/0.7_0.2_0.1/au_265176.xlsx","au_265176")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HYPERLINK("./new_k5/query_cmdrels_weight_analyze/0.7_0.2_0.1/au_275704.xlsx","au_275704")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HYPERLINK("./new_k5/query_cmdrels_weight_analyze/0.7_0.2_0.1/au_276669.xlsx","au_276669")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HYPERLINK("./new_k5/query_cmdrels_weight_analyze/0.7_0.2_0.1/au_277565.xlsx","au_277565")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HYPERLINK("./new_k5/query_cmdrels_weight_analyze/0.7_0.2_0.1/au_278403.xlsx","au_278403")</f>
        <v>au_278403</v>
      </c>
      <c r="B80">
        <v>0</v>
      </c>
      <c r="C80">
        <v>0.25</v>
      </c>
      <c r="D80">
        <v>8.3333333333333329E-2</v>
      </c>
      <c r="E80">
        <v>0.25</v>
      </c>
      <c r="F80">
        <v>0.20833333333333329</v>
      </c>
      <c r="G80">
        <v>0.375</v>
      </c>
    </row>
    <row r="81" spans="1:7" x14ac:dyDescent="0.15">
      <c r="A81" t="str">
        <f>HYPERLINK("./new_k5/query_cmdrels_weight_analyze/0.7_0.2_0.1/au_28039.xlsx","au_28039")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HYPERLINK("./new_k5/query_cmdrels_weight_analyze/0.7_0.2_0.1/au_281509.xlsx","au_281509")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HYPERLINK("./new_k5/query_cmdrels_weight_analyze/0.7_0.2_0.1/au_282806.xlsx","au_282806")</f>
        <v>au_282806</v>
      </c>
      <c r="B83">
        <v>0</v>
      </c>
      <c r="C83">
        <v>0.33333333333333331</v>
      </c>
      <c r="D83">
        <v>0.38888888888888878</v>
      </c>
      <c r="E83">
        <v>0.33333333333333331</v>
      </c>
      <c r="F83">
        <v>0.38888888888888878</v>
      </c>
      <c r="G83">
        <v>0.70000000000000007</v>
      </c>
    </row>
    <row r="84" spans="1:7" x14ac:dyDescent="0.15">
      <c r="A84" t="str">
        <f>HYPERLINK("./new_k5/query_cmdrels_weight_analyze/0.7_0.2_0.1/au_283559.xlsx","au_283559")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HYPERLINK("./new_k5/query_cmdrels_weight_analyze/0.7_0.2_0.1/au_285539.xlsx","au_285539")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HYPERLINK("./new_k5/query_cmdrels_weight_analyze/0.7_0.2_0.1/au_287532.xlsx","au_287532")</f>
        <v>au_287532</v>
      </c>
      <c r="B86">
        <v>0</v>
      </c>
      <c r="C86">
        <v>0</v>
      </c>
      <c r="D86">
        <v>0</v>
      </c>
      <c r="E86">
        <v>8.3333333333333329E-2</v>
      </c>
      <c r="F86">
        <v>0</v>
      </c>
      <c r="G86">
        <v>8.3333333333333329E-2</v>
      </c>
    </row>
    <row r="87" spans="1:7" x14ac:dyDescent="0.15">
      <c r="A87" t="str">
        <f>HYPERLINK("./new_k5/query_cmdrels_weight_analyze/0.7_0.2_0.1/au_294257.xlsx","au_294257")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HYPERLINK("./new_k5/query_cmdrels_weight_analyze/0.7_0.2_0.1/au_296155.xlsx","au_296155")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HYPERLINK("./new_k5/query_cmdrels_weight_analyze/0.7_0.2_0.1/au_299975.xlsx","au_299975")</f>
        <v>au_299975</v>
      </c>
      <c r="B89">
        <v>0.25</v>
      </c>
      <c r="C89">
        <v>0</v>
      </c>
      <c r="D89">
        <v>0.5</v>
      </c>
      <c r="E89">
        <v>0.125</v>
      </c>
      <c r="F89">
        <v>0.6875</v>
      </c>
      <c r="G89">
        <v>0.25</v>
      </c>
    </row>
    <row r="90" spans="1:7" x14ac:dyDescent="0.15">
      <c r="A90" t="str">
        <f>HYPERLINK("./new_k5/query_cmdrels_weight_analyze/0.7_0.2_0.1/au_301096.xlsx","au_301096")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HYPERLINK("./new_k5/query_cmdrels_weight_analyze/0.7_0.2_0.1/au_303593.xlsx","au_303593")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HYPERLINK("./new_k5/query_cmdrels_weight_analyze/0.7_0.2_0.1/au_303849.xlsx","au_303849")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HYPERLINK("./new_k5/query_cmdrels_weight_analyze/0.7_0.2_0.1/au_307541.xlsx","au_307541")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HYPERLINK("./new_k5/query_cmdrels_weight_analyze/0.7_0.2_0.1/au_307688.xlsx","au_307688")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HYPERLINK("./new_k5/query_cmdrels_weight_analyze/0.7_0.2_0.1/au_309047.xlsx","au_309047")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HYPERLINK("./new_k5/query_cmdrels_weight_analyze/0.7_0.2_0.1/au_311558.xlsx","au_311558")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0.41666666666666657</v>
      </c>
    </row>
    <row r="97" spans="1:7" x14ac:dyDescent="0.15">
      <c r="A97" t="str">
        <f>HYPERLINK("./new_k5/query_cmdrels_weight_analyze/0.7_0.2_0.1/au_318973.xlsx","au_318973")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HYPERLINK("./new_k5/query_cmdrels_weight_analyze/0.7_0.2_0.1/au_3205.xlsx","au_3205")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HYPERLINK("./new_k5/query_cmdrels_weight_analyze/0.7_0.2_0.1/au_323131.xlsx","au_323131")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HYPERLINK("./new_k5/query_cmdrels_weight_analyze/0.7_0.2_0.1/au_323392.xlsx","au_323392")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HYPERLINK("./new_k5/query_cmdrels_weight_analyze/0.7_0.2_0.1/au_325368.xlsx","au_325368")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HYPERLINK("./new_k5/query_cmdrels_weight_analyze/0.7_0.2_0.1/au_328162.xlsx","au_328162")</f>
        <v>au_328162</v>
      </c>
      <c r="B102">
        <v>0.33333333333333331</v>
      </c>
      <c r="C102">
        <v>0.33333333333333331</v>
      </c>
      <c r="D102">
        <v>1</v>
      </c>
      <c r="E102">
        <v>0.66666666666666663</v>
      </c>
      <c r="F102">
        <v>1</v>
      </c>
      <c r="G102">
        <v>0.66666666666666663</v>
      </c>
    </row>
    <row r="103" spans="1:7" x14ac:dyDescent="0.15">
      <c r="A103" t="str">
        <f>HYPERLINK("./new_k5/query_cmdrels_weight_analyze/0.7_0.2_0.1/au_330148.xlsx","au_330148")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HYPERLINK("./new_k5/query_cmdrels_weight_analyze/0.7_0.2_0.1/au_332315.xlsx","au_332315")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HYPERLINK("./new_k5/query_cmdrels_weight_analyze/0.7_0.2_0.1/au_334081.xlsx","au_334081")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HYPERLINK("./new_k5/query_cmdrels_weight_analyze/0.7_0.2_0.1/au_34077.xlsx","au_34077")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0.33333333333333331</v>
      </c>
      <c r="F106">
        <v>0.33333333333333331</v>
      </c>
      <c r="G106">
        <v>0.59166666666666667</v>
      </c>
    </row>
    <row r="107" spans="1:7" x14ac:dyDescent="0.15">
      <c r="A107" t="str">
        <f>HYPERLINK("./new_k5/query_cmdrels_weight_analyze/0.7_0.2_0.1/au_341428.xlsx","au_341428")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HYPERLINK("./new_k5/query_cmdrels_weight_analyze/0.7_0.2_0.1/au_341584.xlsx","au_341584")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HYPERLINK("./new_k5/query_cmdrels_weight_analyze/0.7_0.2_0.1/au_346864.xlsx","au_346864")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0.14285714285714279</v>
      </c>
      <c r="F109">
        <v>0.23809523809523811</v>
      </c>
      <c r="G109">
        <v>0.2142857142857143</v>
      </c>
    </row>
    <row r="110" spans="1:7" x14ac:dyDescent="0.15">
      <c r="A110" t="str">
        <f>HYPERLINK("./new_k5/query_cmdrels_weight_analyze/0.7_0.2_0.1/au_351765.xlsx","au_351765")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0.5</v>
      </c>
    </row>
    <row r="111" spans="1:7" x14ac:dyDescent="0.15">
      <c r="A111" t="str">
        <f>HYPERLINK("./new_k5/query_cmdrels_weight_analyze/0.7_0.2_0.1/au_35922.xlsx","au_35922")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HYPERLINK("./new_k5/query_cmdrels_weight_analyze/0.7_0.2_0.1/au_359856.xlsx","au_359856")</f>
        <v>au_359856</v>
      </c>
      <c r="B112">
        <v>0.25</v>
      </c>
      <c r="C112">
        <v>0.25</v>
      </c>
      <c r="D112">
        <v>0.75</v>
      </c>
      <c r="E112">
        <v>0.5</v>
      </c>
      <c r="F112">
        <v>0.95</v>
      </c>
      <c r="G112">
        <v>0.5</v>
      </c>
    </row>
    <row r="113" spans="1:7" x14ac:dyDescent="0.15">
      <c r="A113" t="str">
        <f>HYPERLINK("./new_k5/query_cmdrels_weight_analyze/0.7_0.2_0.1/au_360423.xlsx","au_360423")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HYPERLINK("./new_k5/query_cmdrels_weight_analyze/0.7_0.2_0.1/au_36287.xlsx","au_36287")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HYPERLINK("./new_k5/query_cmdrels_weight_analyze/0.7_0.2_0.1/au_366742.xlsx","au_366742")</f>
        <v>au_366742</v>
      </c>
      <c r="B115">
        <v>0</v>
      </c>
      <c r="C115">
        <v>0</v>
      </c>
      <c r="D115">
        <v>0</v>
      </c>
      <c r="E115">
        <v>0.125</v>
      </c>
      <c r="F115">
        <v>0</v>
      </c>
      <c r="G115">
        <v>0.25</v>
      </c>
    </row>
    <row r="116" spans="1:7" x14ac:dyDescent="0.15">
      <c r="A116" t="str">
        <f>HYPERLINK("./new_k5/query_cmdrels_weight_analyze/0.7_0.2_0.1/au_377937.xlsx","au_377937")</f>
        <v>au_377937</v>
      </c>
      <c r="B116">
        <v>0.25</v>
      </c>
      <c r="C116">
        <v>0.25</v>
      </c>
      <c r="D116">
        <v>0.5</v>
      </c>
      <c r="E116">
        <v>0.75</v>
      </c>
      <c r="F116">
        <v>0.5</v>
      </c>
      <c r="G116">
        <v>0.75</v>
      </c>
    </row>
    <row r="117" spans="1:7" x14ac:dyDescent="0.15">
      <c r="A117" t="str">
        <f>HYPERLINK("./new_k5/query_cmdrels_weight_analyze/0.7_0.2_0.1/au_383997.xlsx","au_383997")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0.37142857142857139</v>
      </c>
    </row>
    <row r="118" spans="1:7" x14ac:dyDescent="0.15">
      <c r="A118" t="str">
        <f>HYPERLINK("./new_k5/query_cmdrels_weight_analyze/0.7_0.2_0.1/au_3883.xlsx","au_3883")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0.35</v>
      </c>
    </row>
    <row r="119" spans="1:7" x14ac:dyDescent="0.15">
      <c r="A119" t="str">
        <f>HYPERLINK("./new_k5/query_cmdrels_weight_analyze/0.7_0.2_0.1/au_396883.xlsx","au_396883")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HYPERLINK("./new_k5/query_cmdrels_weight_analyze/0.7_0.2_0.1/au_39760.xlsx","au_39760")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HYPERLINK("./new_k5/query_cmdrels_weight_analyze/0.7_0.2_0.1/au_398818.xlsx","au_398818")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HYPERLINK("./new_k5/query_cmdrels_weight_analyze/0.7_0.2_0.1/au_400807.xlsx","au_400807")</f>
        <v>au_400807</v>
      </c>
      <c r="B122">
        <v>0</v>
      </c>
      <c r="C122">
        <v>0.33333333333333331</v>
      </c>
      <c r="D122">
        <v>0.16666666666666671</v>
      </c>
      <c r="E122">
        <v>0.66666666666666663</v>
      </c>
      <c r="F122">
        <v>0.16666666666666671</v>
      </c>
      <c r="G122">
        <v>0.91666666666666663</v>
      </c>
    </row>
    <row r="123" spans="1:7" x14ac:dyDescent="0.15">
      <c r="A123" t="str">
        <f>HYPERLINK("./new_k5/query_cmdrels_weight_analyze/0.7_0.2_0.1/au_408611.xlsx","au_408611")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HYPERLINK("./new_k5/query_cmdrels_weight_analyze/0.7_0.2_0.1/au_414737.xlsx","au_414737")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HYPERLINK("./new_k5/query_cmdrels_weight_analyze/0.7_0.2_0.1/au_420722.xlsx","au_420722")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0.55555555555555547</v>
      </c>
      <c r="F125">
        <v>0.66666666666666663</v>
      </c>
      <c r="G125">
        <v>0.55555555555555547</v>
      </c>
    </row>
    <row r="126" spans="1:7" x14ac:dyDescent="0.15">
      <c r="A126" t="str">
        <f>HYPERLINK("./new_k5/query_cmdrels_weight_analyze/0.7_0.2_0.1/au_423942.xlsx","au_423942")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HYPERLINK("./new_k5/query_cmdrels_weight_analyze/0.7_0.2_0.1/au_430382.xlsx","au_430382")</f>
        <v>au_430382</v>
      </c>
      <c r="B127">
        <v>0</v>
      </c>
      <c r="C127">
        <v>0.25</v>
      </c>
      <c r="D127">
        <v>0.29166666666666657</v>
      </c>
      <c r="E127">
        <v>0.41666666666666657</v>
      </c>
      <c r="F127">
        <v>0.29166666666666657</v>
      </c>
      <c r="G127">
        <v>0.41666666666666657</v>
      </c>
    </row>
    <row r="128" spans="1:7" x14ac:dyDescent="0.15">
      <c r="A128" t="str">
        <f>HYPERLINK("./new_k5/query_cmdrels_weight_analyze/0.7_0.2_0.1/au_432836.xlsx","au_432836")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HYPERLINK("./new_k5/query_cmdrels_weight_analyze/0.7_0.2_0.1/au_440326.xlsx","au_440326")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HYPERLINK("./new_k5/query_cmdrels_weight_analyze/0.7_0.2_0.1/au_442914.xlsx","au_442914")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HYPERLINK("./new_k5/query_cmdrels_weight_analyze/0.7_0.2_0.1/au_443227.xlsx","au_443227")</f>
        <v>au_443227</v>
      </c>
      <c r="B131">
        <v>0.5</v>
      </c>
      <c r="C131">
        <v>0</v>
      </c>
      <c r="D131">
        <v>0.5</v>
      </c>
      <c r="E131">
        <v>0</v>
      </c>
      <c r="F131">
        <v>0.5</v>
      </c>
      <c r="G131">
        <v>0.125</v>
      </c>
    </row>
    <row r="132" spans="1:7" x14ac:dyDescent="0.15">
      <c r="A132" t="str">
        <f>HYPERLINK("./new_k5/query_cmdrels_weight_analyze/0.7_0.2_0.1/au_44534.xlsx","au_44534")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HYPERLINK("./new_k5/query_cmdrels_weight_analyze/0.7_0.2_0.1/au_451805.xlsx","au_451805")</f>
        <v>au_451805</v>
      </c>
      <c r="B133">
        <v>0.33333333333333331</v>
      </c>
      <c r="C133">
        <v>0</v>
      </c>
      <c r="D133">
        <v>0.33333333333333331</v>
      </c>
      <c r="E133">
        <v>0.1111111111111111</v>
      </c>
      <c r="F133">
        <v>0.33333333333333331</v>
      </c>
      <c r="G133">
        <v>0.1111111111111111</v>
      </c>
    </row>
    <row r="134" spans="1:7" x14ac:dyDescent="0.15">
      <c r="A134" t="str">
        <f>HYPERLINK("./new_k5/query_cmdrels_weight_analyze/0.7_0.2_0.1/au_464264.xlsx","au_464264")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0.1466666666666667</v>
      </c>
    </row>
    <row r="135" spans="1:7" x14ac:dyDescent="0.15">
      <c r="A135" t="str">
        <f>HYPERLINK("./new_k5/query_cmdrels_weight_analyze/0.7_0.2_0.1/au_468808.xlsx","au_468808")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HYPERLINK("./new_k5/query_cmdrels_weight_analyze/0.7_0.2_0.1/au_469143.xlsx","au_469143")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HYPERLINK("./new_k5/query_cmdrels_weight_analyze/0.7_0.2_0.1/au_470237.xlsx","au_470237")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HYPERLINK("./new_k5/query_cmdrels_weight_analyze/0.7_0.2_0.1/au_473037.xlsx","au_473037")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0.1</v>
      </c>
    </row>
    <row r="139" spans="1:7" x14ac:dyDescent="0.15">
      <c r="A139" t="str">
        <f>HYPERLINK("./new_k5/query_cmdrels_weight_analyze/0.7_0.2_0.1/au_48362.xlsx","au_48362")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HYPERLINK("./new_k5/query_cmdrels_weight_analyze/0.7_0.2_0.1/au_488435.xlsx","au_488435")</f>
        <v>au_488435</v>
      </c>
      <c r="B140">
        <v>0</v>
      </c>
      <c r="C140">
        <v>0</v>
      </c>
      <c r="D140">
        <v>0.125</v>
      </c>
      <c r="E140">
        <v>8.3333333333333329E-2</v>
      </c>
      <c r="F140">
        <v>0.25</v>
      </c>
      <c r="G140">
        <v>8.3333333333333329E-2</v>
      </c>
    </row>
    <row r="141" spans="1:7" x14ac:dyDescent="0.15">
      <c r="A141" t="str">
        <f>HYPERLINK("./new_k5/query_cmdrels_weight_analyze/0.7_0.2_0.1/au_493826.xlsx","au_493826")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0.23809523809523811</v>
      </c>
      <c r="F141">
        <v>0.14285714285714279</v>
      </c>
      <c r="G141">
        <v>0.23809523809523811</v>
      </c>
    </row>
    <row r="142" spans="1:7" x14ac:dyDescent="0.15">
      <c r="A142" t="str">
        <f>HYPERLINK("./new_k5/query_cmdrels_weight_analyze/0.7_0.2_0.1/au_502110.xlsx","au_502110")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HYPERLINK("./new_k5/query_cmdrels_weight_analyze/0.7_0.2_0.1/au_50344.xlsx","au_50344")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HYPERLINK("./new_k5/query_cmdrels_weight_analyze/0.7_0.2_0.1/au_511467.xlsx","au_511467")</f>
        <v>au_511467</v>
      </c>
      <c r="B144">
        <v>0</v>
      </c>
      <c r="C144">
        <v>0.16666666666666671</v>
      </c>
      <c r="D144">
        <v>0.19444444444444439</v>
      </c>
      <c r="E144">
        <v>0.27777777777777768</v>
      </c>
      <c r="F144">
        <v>0.19444444444444439</v>
      </c>
      <c r="G144">
        <v>0.40277777777777768</v>
      </c>
    </row>
    <row r="145" spans="1:7" x14ac:dyDescent="0.15">
      <c r="A145" t="str">
        <f>HYPERLINK("./new_k5/query_cmdrels_weight_analyze/0.7_0.2_0.1/au_513046.xlsx","au_513046")</f>
        <v>au_513046</v>
      </c>
      <c r="B145">
        <v>0.25</v>
      </c>
      <c r="C145">
        <v>0</v>
      </c>
      <c r="D145">
        <v>0.5</v>
      </c>
      <c r="E145">
        <v>8.3333333333333329E-2</v>
      </c>
      <c r="F145">
        <v>0.5</v>
      </c>
      <c r="G145">
        <v>0.35833333333333328</v>
      </c>
    </row>
    <row r="146" spans="1:7" x14ac:dyDescent="0.15">
      <c r="A146" t="str">
        <f>HYPERLINK("./new_k5/query_cmdrels_weight_analyze/0.7_0.2_0.1/au_517354.xlsx","au_517354")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0.34523809523809518</v>
      </c>
    </row>
    <row r="147" spans="1:7" x14ac:dyDescent="0.15">
      <c r="A147" t="str">
        <f>HYPERLINK("./new_k5/query_cmdrels_weight_analyze/0.7_0.2_0.1/au_522431.xlsx","au_522431")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0.3833333333333333</v>
      </c>
    </row>
    <row r="148" spans="1:7" x14ac:dyDescent="0.15">
      <c r="A148" t="str">
        <f>HYPERLINK("./new_k5/query_cmdrels_weight_analyze/0.7_0.2_0.1/au_52773.xlsx","au_52773")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0.05</v>
      </c>
    </row>
    <row r="149" spans="1:7" x14ac:dyDescent="0.15">
      <c r="A149" t="str">
        <f>HYPERLINK("./new_k5/query_cmdrels_weight_analyze/0.7_0.2_0.1/au_528411.xlsx","au_528411")</f>
        <v>au_528411</v>
      </c>
      <c r="B149">
        <v>0</v>
      </c>
      <c r="C149">
        <v>0</v>
      </c>
      <c r="D149">
        <v>0</v>
      </c>
      <c r="E149">
        <v>0.16666666666666671</v>
      </c>
      <c r="F149">
        <v>0</v>
      </c>
      <c r="G149">
        <v>0.16666666666666671</v>
      </c>
    </row>
    <row r="150" spans="1:7" x14ac:dyDescent="0.15">
      <c r="A150" t="str">
        <f>HYPERLINK("./new_k5/query_cmdrels_weight_analyze/0.7_0.2_0.1/au_53263.xlsx","au_53263")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0.95</v>
      </c>
    </row>
    <row r="151" spans="1:7" x14ac:dyDescent="0.15">
      <c r="A151" t="str">
        <f>HYPERLINK("./new_k5/query_cmdrels_weight_analyze/0.7_0.2_0.1/au_53444.xlsx","au_53444")</f>
        <v>au_53444</v>
      </c>
      <c r="B151">
        <v>0.5</v>
      </c>
      <c r="C151">
        <v>0</v>
      </c>
      <c r="D151">
        <v>0.5</v>
      </c>
      <c r="E151">
        <v>0.16666666666666671</v>
      </c>
      <c r="F151">
        <v>0.5</v>
      </c>
      <c r="G151">
        <v>0.16666666666666671</v>
      </c>
    </row>
    <row r="152" spans="1:7" x14ac:dyDescent="0.15">
      <c r="A152" t="str">
        <f>HYPERLINK("./new_k5/query_cmdrels_weight_analyze/0.7_0.2_0.1/au_538208.xlsx","au_538208")</f>
        <v>au_538208</v>
      </c>
      <c r="B152">
        <v>0.125</v>
      </c>
      <c r="C152">
        <v>0.125</v>
      </c>
      <c r="D152">
        <v>0.375</v>
      </c>
      <c r="E152">
        <v>0.25</v>
      </c>
      <c r="F152">
        <v>0.5</v>
      </c>
      <c r="G152">
        <v>0.44374999999999998</v>
      </c>
    </row>
    <row r="153" spans="1:7" x14ac:dyDescent="0.15">
      <c r="A153" t="str">
        <f>HYPERLINK("./new_k5/query_cmdrels_weight_analyze/0.7_0.2_0.1/au_53822.xlsx","au_53822")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HYPERLINK("./new_k5/query_cmdrels_weight_analyze/0.7_0.2_0.1/au_539243.xlsx","au_539243")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</v>
      </c>
    </row>
    <row r="155" spans="1:7" x14ac:dyDescent="0.15">
      <c r="A155" t="str">
        <f>HYPERLINK("./new_k5/query_cmdrels_weight_analyze/0.7_0.2_0.1/au_558280.xlsx","au_558280")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HYPERLINK("./new_k5/query_cmdrels_weight_analyze/0.7_0.2_0.1/au_558669.xlsx","au_558669")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HYPERLINK("./new_k5/query_cmdrels_weight_analyze/0.7_0.2_0.1/au_55868.xlsx","au_55868")</f>
        <v>au_55868</v>
      </c>
      <c r="B157">
        <v>0</v>
      </c>
      <c r="C157">
        <v>0.1111111111111111</v>
      </c>
      <c r="D157">
        <v>5.5555555555555552E-2</v>
      </c>
      <c r="E157">
        <v>0.1851851851851852</v>
      </c>
      <c r="F157">
        <v>0.1111111111111111</v>
      </c>
      <c r="G157">
        <v>0.3574074074074074</v>
      </c>
    </row>
    <row r="158" spans="1:7" x14ac:dyDescent="0.15">
      <c r="A158" t="str">
        <f>HYPERLINK("./new_k5/query_cmdrels_weight_analyze/0.7_0.2_0.1/au_561.xlsx","au_561")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0.5</v>
      </c>
    </row>
    <row r="159" spans="1:7" x14ac:dyDescent="0.15">
      <c r="A159" t="str">
        <f>HYPERLINK("./new_k5/query_cmdrels_weight_analyze/0.7_0.2_0.1/au_564567.xlsx","au_564567")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HYPERLINK("./new_k5/query_cmdrels_weight_analyze/0.7_0.2_0.1/au_57994.xlsx","au_57994")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0.5714285714285714</v>
      </c>
    </row>
    <row r="161" spans="1:7" x14ac:dyDescent="0.15">
      <c r="A161" t="str">
        <f>HYPERLINK("./new_k5/query_cmdrels_weight_analyze/0.7_0.2_0.1/au_589210.xlsx","au_589210")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0.35</v>
      </c>
    </row>
    <row r="162" spans="1:7" x14ac:dyDescent="0.15">
      <c r="A162" t="str">
        <f>HYPERLINK("./new_k5/query_cmdrels_weight_analyze/0.7_0.2_0.1/au_5911.xlsx","au_5911")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HYPERLINK("./new_k5/query_cmdrels_weight_analyze/0.7_0.2_0.1/au_59356.xlsx","au_59356")</f>
        <v>au_59356</v>
      </c>
      <c r="B163">
        <v>0</v>
      </c>
      <c r="C163">
        <v>0</v>
      </c>
      <c r="D163">
        <v>0.16666666666666671</v>
      </c>
      <c r="E163">
        <v>0</v>
      </c>
      <c r="F163">
        <v>0.16666666666666671</v>
      </c>
      <c r="G163">
        <v>0</v>
      </c>
    </row>
    <row r="164" spans="1:7" x14ac:dyDescent="0.15">
      <c r="A164" t="str">
        <f>HYPERLINK("./new_k5/query_cmdrels_weight_analyze/0.7_0.2_0.1/au_609850.xlsx","au_609850")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HYPERLINK("./new_k5/query_cmdrels_weight_analyze/0.7_0.2_0.1/au_61408.xlsx","au_61408")</f>
        <v>au_61408</v>
      </c>
      <c r="B165">
        <v>0</v>
      </c>
      <c r="C165">
        <v>0.33333333333333331</v>
      </c>
      <c r="D165">
        <v>0.16666666666666671</v>
      </c>
      <c r="E165">
        <v>0.33333333333333331</v>
      </c>
      <c r="F165">
        <v>0.16666666666666671</v>
      </c>
      <c r="G165">
        <v>0.33333333333333331</v>
      </c>
    </row>
    <row r="166" spans="1:7" x14ac:dyDescent="0.15">
      <c r="A166" t="str">
        <f>HYPERLINK("./new_k5/query_cmdrels_weight_analyze/0.7_0.2_0.1/au_617850.xlsx","au_617850")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HYPERLINK("./new_k5/query_cmdrels_weight_analyze/0.7_0.2_0.1/au_62073.xlsx","au_62073")</f>
        <v>au_62073</v>
      </c>
      <c r="B167">
        <v>0</v>
      </c>
      <c r="C167">
        <v>0.2</v>
      </c>
      <c r="D167">
        <v>0.23333333333333331</v>
      </c>
      <c r="E167">
        <v>0.4</v>
      </c>
      <c r="F167">
        <v>0.23333333333333331</v>
      </c>
      <c r="G167">
        <v>0.71</v>
      </c>
    </row>
    <row r="168" spans="1:7" x14ac:dyDescent="0.15">
      <c r="A168" t="str">
        <f>HYPERLINK("./new_k5/query_cmdrels_weight_analyze/0.7_0.2_0.1/au_620930.xlsx","au_620930")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0.45333333333333331</v>
      </c>
    </row>
    <row r="169" spans="1:7" x14ac:dyDescent="0.15">
      <c r="A169" t="str">
        <f>HYPERLINK("./new_k5/query_cmdrels_weight_analyze/0.7_0.2_0.1/au_62492.xlsx","au_62492")</f>
        <v>au_62492</v>
      </c>
      <c r="B169">
        <v>0.2</v>
      </c>
      <c r="C169">
        <v>0.2</v>
      </c>
      <c r="D169">
        <v>0.33333333333333331</v>
      </c>
      <c r="E169">
        <v>0.6</v>
      </c>
      <c r="F169">
        <v>0.48333333333333328</v>
      </c>
      <c r="G169">
        <v>0.76</v>
      </c>
    </row>
    <row r="170" spans="1:7" x14ac:dyDescent="0.15">
      <c r="A170" t="str">
        <f>HYPERLINK("./new_k5/query_cmdrels_weight_analyze/0.7_0.2_0.1/au_626078.xlsx","au_626078")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HYPERLINK("./new_k5/query_cmdrels_weight_analyze/0.7_0.2_0.1/au_636944.xlsx","au_636944")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HYPERLINK("./new_k5/query_cmdrels_weight_analyze/0.7_0.2_0.1/au_648603.xlsx","au_648603")</f>
        <v>au_648603</v>
      </c>
      <c r="B172">
        <v>0.25</v>
      </c>
      <c r="C172">
        <v>0.25</v>
      </c>
      <c r="D172">
        <v>0.25</v>
      </c>
      <c r="E172">
        <v>0.5</v>
      </c>
      <c r="F172">
        <v>0.25</v>
      </c>
      <c r="G172">
        <v>0.5</v>
      </c>
    </row>
    <row r="173" spans="1:7" x14ac:dyDescent="0.15">
      <c r="A173" t="str">
        <f>HYPERLINK("./new_k5/query_cmdrels_weight_analyze/0.7_0.2_0.1/au_65331.xlsx","au_65331")</f>
        <v>au_65331</v>
      </c>
      <c r="B173">
        <v>0</v>
      </c>
      <c r="C173">
        <v>0.16666666666666671</v>
      </c>
      <c r="D173">
        <v>8.3333333333333329E-2</v>
      </c>
      <c r="E173">
        <v>0.27777777777777768</v>
      </c>
      <c r="F173">
        <v>0.16666666666666671</v>
      </c>
      <c r="G173">
        <v>0.27777777777777768</v>
      </c>
    </row>
    <row r="174" spans="1:7" x14ac:dyDescent="0.15">
      <c r="A174" t="str">
        <f>HYPERLINK("./new_k5/query_cmdrels_weight_analyze/0.7_0.2_0.1/au_66000.xlsx","au_66000")</f>
        <v>au_66000</v>
      </c>
      <c r="B174">
        <v>0</v>
      </c>
      <c r="C174">
        <v>0.2</v>
      </c>
      <c r="D174">
        <v>0</v>
      </c>
      <c r="E174">
        <v>0.33333333333333331</v>
      </c>
      <c r="F174">
        <v>0</v>
      </c>
      <c r="G174">
        <v>0.64333333333333331</v>
      </c>
    </row>
    <row r="175" spans="1:7" x14ac:dyDescent="0.15">
      <c r="A175" t="str">
        <f>HYPERLINK("./new_k5/query_cmdrels_weight_analyze/0.7_0.2_0.1/au_660846.xlsx","au_660846")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HYPERLINK("./new_k5/query_cmdrels_weight_analyze/0.7_0.2_0.1/au_662935.xlsx","au_662935")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0.34375</v>
      </c>
    </row>
    <row r="177" spans="1:7" x14ac:dyDescent="0.15">
      <c r="A177" t="str">
        <f>HYPERLINK("./new_k5/query_cmdrels_weight_analyze/0.7_0.2_0.1/au_67663.xlsx","au_67663")</f>
        <v>au_67663</v>
      </c>
      <c r="B177">
        <v>0</v>
      </c>
      <c r="C177">
        <v>0.25</v>
      </c>
      <c r="D177">
        <v>0.29166666666666657</v>
      </c>
      <c r="E177">
        <v>0.75</v>
      </c>
      <c r="F177">
        <v>0.29166666666666657</v>
      </c>
      <c r="G177">
        <v>0.75</v>
      </c>
    </row>
    <row r="178" spans="1:7" x14ac:dyDescent="0.15">
      <c r="A178" t="str">
        <f>HYPERLINK("./new_k5/query_cmdrels_weight_analyze/0.7_0.2_0.1/au_68028.xlsx","au_68028")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0.14285714285714279</v>
      </c>
      <c r="F178">
        <v>0.37142857142857139</v>
      </c>
      <c r="G178">
        <v>0.3</v>
      </c>
    </row>
    <row r="179" spans="1:7" x14ac:dyDescent="0.15">
      <c r="A179" t="str">
        <f>HYPERLINK("./new_k5/query_cmdrels_weight_analyze/0.7_0.2_0.1/au_681312.xlsx","au_681312")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0.23809523809523811</v>
      </c>
      <c r="F179">
        <v>0.42857142857142849</v>
      </c>
      <c r="G179">
        <v>0.34523809523809518</v>
      </c>
    </row>
    <row r="180" spans="1:7" x14ac:dyDescent="0.15">
      <c r="A180" t="str">
        <f>HYPERLINK("./new_k5/query_cmdrels_weight_analyze/0.7_0.2_0.1/au_686239.xlsx","au_686239")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HYPERLINK("./new_k5/query_cmdrels_weight_analyze/0.7_0.2_0.1/au_68809.xlsx","au_68809")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0.28333333333333333</v>
      </c>
    </row>
    <row r="182" spans="1:7" x14ac:dyDescent="0.15">
      <c r="A182" t="str">
        <f>HYPERLINK("./new_k5/query_cmdrels_weight_analyze/0.7_0.2_0.1/au_69556.xlsx","au_69556")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HYPERLINK("./new_k5/query_cmdrels_weight_analyze/0.7_0.2_0.1/au_698993.xlsx","au_698993")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HYPERLINK("./new_k5/query_cmdrels_weight_analyze/0.7_0.2_0.1/au_707881.xlsx","au_707881")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HYPERLINK("./new_k5/query_cmdrels_weight_analyze/0.7_0.2_0.1/au_709594.xlsx","au_709594")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HYPERLINK("./new_k5/query_cmdrels_weight_analyze/0.7_0.2_0.1/au_71309.xlsx","au_71309")</f>
        <v>au_71309</v>
      </c>
      <c r="B186">
        <v>0.125</v>
      </c>
      <c r="C186">
        <v>0</v>
      </c>
      <c r="D186">
        <v>0.20833333333333329</v>
      </c>
      <c r="E186">
        <v>0.14583333333333329</v>
      </c>
      <c r="F186">
        <v>0.20833333333333329</v>
      </c>
      <c r="G186">
        <v>0.23958333333333329</v>
      </c>
    </row>
    <row r="187" spans="1:7" x14ac:dyDescent="0.15">
      <c r="A187" t="str">
        <f>HYPERLINK("./new_k5/query_cmdrels_weight_analyze/0.7_0.2_0.1/au_7138.xlsx","au_7138")</f>
        <v>au_7138</v>
      </c>
      <c r="B187">
        <v>0.25</v>
      </c>
      <c r="C187">
        <v>0</v>
      </c>
      <c r="D187">
        <v>0.75</v>
      </c>
      <c r="E187">
        <v>0</v>
      </c>
      <c r="F187">
        <v>0.75</v>
      </c>
      <c r="G187">
        <v>6.25E-2</v>
      </c>
    </row>
    <row r="188" spans="1:7" x14ac:dyDescent="0.15">
      <c r="A188" t="str">
        <f>HYPERLINK("./new_k5/query_cmdrels_weight_analyze/0.7_0.2_0.1/au_72549.xlsx","au_72549")</f>
        <v>au_72549</v>
      </c>
      <c r="B188">
        <v>0</v>
      </c>
      <c r="C188">
        <v>0.25</v>
      </c>
      <c r="D188">
        <v>0</v>
      </c>
      <c r="E188">
        <v>0.25</v>
      </c>
      <c r="F188">
        <v>0</v>
      </c>
      <c r="G188">
        <v>0.25</v>
      </c>
    </row>
    <row r="189" spans="1:7" x14ac:dyDescent="0.15">
      <c r="A189" t="str">
        <f>HYPERLINK("./new_k5/query_cmdrels_weight_analyze/0.7_0.2_0.1/au_740805.xlsx","au_740805")</f>
        <v>au_740805</v>
      </c>
      <c r="B189">
        <v>0.25</v>
      </c>
      <c r="C189">
        <v>0</v>
      </c>
      <c r="D189">
        <v>0.41666666666666657</v>
      </c>
      <c r="E189">
        <v>8.3333333333333329E-2</v>
      </c>
      <c r="F189">
        <v>0.41666666666666657</v>
      </c>
      <c r="G189">
        <v>0.18333333333333329</v>
      </c>
    </row>
    <row r="190" spans="1:7" x14ac:dyDescent="0.15">
      <c r="A190" t="str">
        <f>HYPERLINK("./new_k5/query_cmdrels_weight_analyze/0.7_0.2_0.1/au_760796.xlsx","au_760796")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HYPERLINK("./new_k5/query_cmdrels_weight_analyze/0.7_0.2_0.1/au_762846.xlsx","au_762846")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0.45833333333333331</v>
      </c>
    </row>
    <row r="192" spans="1:7" x14ac:dyDescent="0.15">
      <c r="A192" t="str">
        <f>HYPERLINK("./new_k5/query_cmdrels_weight_analyze/0.7_0.2_0.1/au_767786.xlsx","au_767786")</f>
        <v>au_767786</v>
      </c>
      <c r="B192">
        <v>0.2</v>
      </c>
      <c r="C192">
        <v>0.2</v>
      </c>
      <c r="D192">
        <v>0.4</v>
      </c>
      <c r="E192">
        <v>0.33333333333333331</v>
      </c>
      <c r="F192">
        <v>0.4</v>
      </c>
      <c r="G192">
        <v>0.64333333333333331</v>
      </c>
    </row>
    <row r="193" spans="1:7" x14ac:dyDescent="0.15">
      <c r="A193" t="str">
        <f>HYPERLINK("./new_k5/query_cmdrels_weight_analyze/0.7_0.2_0.1/au_778906.xlsx","au_778906")</f>
        <v>au_778906</v>
      </c>
      <c r="B193">
        <v>0.2</v>
      </c>
      <c r="C193">
        <v>0.2</v>
      </c>
      <c r="D193">
        <v>0.33333333333333331</v>
      </c>
      <c r="E193">
        <v>0.6</v>
      </c>
      <c r="F193">
        <v>0.33333333333333331</v>
      </c>
      <c r="G193">
        <v>0.6</v>
      </c>
    </row>
    <row r="194" spans="1:7" x14ac:dyDescent="0.15">
      <c r="A194" t="str">
        <f>HYPERLINK("./new_k5/query_cmdrels_weight_analyze/0.7_0.2_0.1/au_818929.xlsx","au_818929")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0.42</v>
      </c>
    </row>
    <row r="195" spans="1:7" x14ac:dyDescent="0.15">
      <c r="A195" t="str">
        <f>HYPERLINK("./new_k5/query_cmdrels_weight_analyze/0.7_0.2_0.1/au_844876.xlsx","au_844876")</f>
        <v>au_844876</v>
      </c>
      <c r="B195">
        <v>0.5</v>
      </c>
      <c r="C195">
        <v>0.5</v>
      </c>
      <c r="D195">
        <v>0.5</v>
      </c>
      <c r="E195">
        <v>1</v>
      </c>
      <c r="F195">
        <v>0.5</v>
      </c>
      <c r="G195">
        <v>1</v>
      </c>
    </row>
    <row r="196" spans="1:7" x14ac:dyDescent="0.15">
      <c r="A196" t="str">
        <f>HYPERLINK("./new_k5/query_cmdrels_weight_analyze/0.7_0.2_0.1/au_85318.xlsx","au_85318")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0.4</v>
      </c>
    </row>
    <row r="197" spans="1:7" x14ac:dyDescent="0.15">
      <c r="A197" t="str">
        <f>HYPERLINK("./new_k5/query_cmdrels_weight_analyze/0.7_0.2_0.1/au_854332.xlsx","au_854332")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HYPERLINK("./new_k5/query_cmdrels_weight_analyze/0.7_0.2_0.1/au_854373.xlsx","au_854373")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HYPERLINK("./new_k5/query_cmdrels_weight_analyze/0.7_0.2_0.1/au_86843.xlsx","au_86843")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HYPERLINK("./new_k5/query_cmdrels_weight_analyze/0.7_0.2_0.1/au_88108.xlsx","au_88108")</f>
        <v>au_88108</v>
      </c>
      <c r="B200">
        <v>0</v>
      </c>
      <c r="C200">
        <v>0</v>
      </c>
      <c r="D200">
        <v>0.1</v>
      </c>
      <c r="E200">
        <v>0</v>
      </c>
      <c r="F200">
        <v>0.1</v>
      </c>
      <c r="G200">
        <v>0.05</v>
      </c>
    </row>
    <row r="201" spans="1:7" x14ac:dyDescent="0.15">
      <c r="A201" t="str">
        <f>HYPERLINK("./new_k5/query_cmdrels_weight_analyze/0.7_0.2_0.1/au_90214.xlsx","au_90214")</f>
        <v>au_90214</v>
      </c>
      <c r="B201">
        <v>0</v>
      </c>
      <c r="C201">
        <v>0</v>
      </c>
      <c r="D201">
        <v>0.16666666666666671</v>
      </c>
      <c r="E201">
        <v>0</v>
      </c>
      <c r="F201">
        <v>0.16666666666666671</v>
      </c>
      <c r="G201">
        <v>0.2166666666666667</v>
      </c>
    </row>
    <row r="202" spans="1:7" x14ac:dyDescent="0.15">
      <c r="A202" t="str">
        <f>HYPERLINK("./new_k5/query_cmdrels_weight_analyze/0.7_0.2_0.1/au_90339.xlsx","au_90339")</f>
        <v>au_90339</v>
      </c>
      <c r="B202">
        <v>0</v>
      </c>
      <c r="C202">
        <v>0</v>
      </c>
      <c r="D202">
        <v>4.7619047619047623E-2</v>
      </c>
      <c r="E202">
        <v>0.16666666666666671</v>
      </c>
      <c r="F202">
        <v>0.2047619047619047</v>
      </c>
      <c r="G202">
        <v>0.3880952380952381</v>
      </c>
    </row>
    <row r="203" spans="1:7" x14ac:dyDescent="0.15">
      <c r="A203" t="str">
        <f>HYPERLINK("./new_k5/query_cmdrels_weight_analyze/0.7_0.2_0.1/au_91286.xlsx","au_91286")</f>
        <v>au_91286</v>
      </c>
      <c r="B203">
        <v>0.5</v>
      </c>
      <c r="C203">
        <v>0</v>
      </c>
      <c r="D203">
        <v>0.5</v>
      </c>
      <c r="E203">
        <v>0.16666666666666671</v>
      </c>
      <c r="F203">
        <v>0.5</v>
      </c>
      <c r="G203">
        <v>0.16666666666666671</v>
      </c>
    </row>
    <row r="204" spans="1:7" x14ac:dyDescent="0.15">
      <c r="A204" t="str">
        <f>HYPERLINK("./new_k5/query_cmdrels_weight_analyze/0.7_0.2_0.1/au_9135.xlsx","au_9135")</f>
        <v>au_9135</v>
      </c>
      <c r="B204">
        <v>0.1</v>
      </c>
      <c r="C204">
        <v>0</v>
      </c>
      <c r="D204">
        <v>0.16666666666666671</v>
      </c>
      <c r="E204">
        <v>0.1166666666666667</v>
      </c>
      <c r="F204">
        <v>0.24166666666666661</v>
      </c>
      <c r="G204">
        <v>0.19166666666666671</v>
      </c>
    </row>
    <row r="205" spans="1:7" x14ac:dyDescent="0.15">
      <c r="A205" t="str">
        <f>HYPERLINK("./new_k5/query_cmdrels_weight_analyze/0.7_0.2_0.1/au_935569.xlsx","au_935569")</f>
        <v>au_935569</v>
      </c>
      <c r="B205">
        <v>0.14285714285714279</v>
      </c>
      <c r="C205">
        <v>0</v>
      </c>
      <c r="D205">
        <v>0.42857142857142849</v>
      </c>
      <c r="E205">
        <v>0.16666666666666671</v>
      </c>
      <c r="F205">
        <v>0.54285714285714282</v>
      </c>
      <c r="G205">
        <v>0.16666666666666671</v>
      </c>
    </row>
    <row r="206" spans="1:7" x14ac:dyDescent="0.15">
      <c r="A206" t="str">
        <f>HYPERLINK("./new_k5/query_cmdrels_weight_analyze/0.7_0.2_0.1/au_97936.xlsx","au_97936")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HYPERLINK("./new_k5/query_cmdrels_weight_analyze/0.7_0.2_0.1/so_10235778.xlsx","so_10235778")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HYPERLINK("./new_k5/query_cmdrels_weight_analyze/0.7_0.2_0.1/so_1045910.xlsx","so_1045910")</f>
        <v>so_1045910</v>
      </c>
      <c r="B208">
        <v>0.25</v>
      </c>
      <c r="C208">
        <v>0</v>
      </c>
      <c r="D208">
        <v>0.25</v>
      </c>
      <c r="E208">
        <v>0.29166666666666657</v>
      </c>
      <c r="F208">
        <v>0.25</v>
      </c>
      <c r="G208">
        <v>0.29166666666666657</v>
      </c>
    </row>
    <row r="209" spans="1:7" x14ac:dyDescent="0.15">
      <c r="A209" t="str">
        <f>HYPERLINK("./new_k5/query_cmdrels_weight_analyze/0.7_0.2_0.1/so_10557360.xlsx","so_10557360")</f>
        <v>so_10557360</v>
      </c>
      <c r="B209">
        <v>0</v>
      </c>
      <c r="C209">
        <v>0</v>
      </c>
      <c r="D209">
        <v>0</v>
      </c>
      <c r="E209">
        <v>6.6666666666666666E-2</v>
      </c>
      <c r="F209">
        <v>0</v>
      </c>
      <c r="G209">
        <v>6.6666666666666666E-2</v>
      </c>
    </row>
    <row r="210" spans="1:7" x14ac:dyDescent="0.15">
      <c r="A210" t="str">
        <f>HYPERLINK("./new_k5/query_cmdrels_weight_analyze/0.7_0.2_0.1/so_1058047.xlsx","so_1058047")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0.375</v>
      </c>
    </row>
    <row r="211" spans="1:7" x14ac:dyDescent="0.15">
      <c r="A211" t="str">
        <f>HYPERLINK("./new_k5/query_cmdrels_weight_analyze/0.7_0.2_0.1/so_10829402.xlsx","so_10829402")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HYPERLINK("./new_k5/query_cmdrels_weight_analyze/0.7_0.2_0.1/so_1088098.xlsx","so_1088098")</f>
        <v>so_1088098</v>
      </c>
      <c r="B212">
        <v>0</v>
      </c>
      <c r="C212">
        <v>0.25</v>
      </c>
      <c r="D212">
        <v>0.125</v>
      </c>
      <c r="E212">
        <v>0.25</v>
      </c>
      <c r="F212">
        <v>0.125</v>
      </c>
      <c r="G212">
        <v>0.25</v>
      </c>
    </row>
    <row r="213" spans="1:7" x14ac:dyDescent="0.15">
      <c r="A213" t="str">
        <f>HYPERLINK("./new_k5/query_cmdrels_weight_analyze/0.7_0.2_0.1/so_10990949.xlsx","so_10990949")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0.5</v>
      </c>
    </row>
    <row r="214" spans="1:7" x14ac:dyDescent="0.15">
      <c r="A214" t="str">
        <f>HYPERLINK("./new_k5/query_cmdrels_weight_analyze/0.7_0.2_0.1/so_11211705.xlsx","so_11211705")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HYPERLINK("./new_k5/query_cmdrels_weight_analyze/0.7_0.2_0.1/so_112932.xlsx","so_112932")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HYPERLINK("./new_k5/query_cmdrels_weight_analyze/0.7_0.2_0.1/so_11392189.xlsx","so_11392189")</f>
        <v>so_11392189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0.16250000000000001</v>
      </c>
    </row>
    <row r="217" spans="1:7" x14ac:dyDescent="0.15">
      <c r="A217" t="str">
        <f>HYPERLINK("./new_k5/query_cmdrels_weight_analyze/0.7_0.2_0.1/so_1183183.xlsx","so_1183183")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</v>
      </c>
    </row>
    <row r="218" spans="1:7" x14ac:dyDescent="0.15">
      <c r="A218" t="str">
        <f>HYPERLINK("./new_k5/query_cmdrels_weight_analyze/0.7_0.2_0.1/so_1194882.xlsx","so_1194882")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HYPERLINK("./new_k5/query_cmdrels_weight_analyze/0.7_0.2_0.1/so_12120935.xlsx","so_12120935")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HYPERLINK("./new_k5/query_cmdrels_weight_analyze/0.7_0.2_0.1/so_12313384.xlsx","so_12313384")</f>
        <v>so_12313384</v>
      </c>
      <c r="B220">
        <v>0</v>
      </c>
      <c r="C220">
        <v>0.33333333333333331</v>
      </c>
      <c r="D220">
        <v>0.16666666666666671</v>
      </c>
      <c r="E220">
        <v>0.55555555555555547</v>
      </c>
      <c r="F220">
        <v>0.16666666666666671</v>
      </c>
      <c r="G220">
        <v>0.55555555555555547</v>
      </c>
    </row>
    <row r="221" spans="1:7" x14ac:dyDescent="0.15">
      <c r="A221" t="str">
        <f>HYPERLINK("./new_k5/query_cmdrels_weight_analyze/0.7_0.2_0.1/so_12392598.xlsx","so_12392598")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HYPERLINK("./new_k5/query_cmdrels_weight_analyze/0.7_0.2_0.1/so_1241801.xlsx","so_1241801")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HYPERLINK("./new_k5/query_cmdrels_weight_analyze/0.7_0.2_0.1/so_12522269.xlsx","so_12522269")</f>
        <v>so_12522269</v>
      </c>
      <c r="B223">
        <v>0.2</v>
      </c>
      <c r="C223">
        <v>0.2</v>
      </c>
      <c r="D223">
        <v>0.2</v>
      </c>
      <c r="E223">
        <v>0.2</v>
      </c>
      <c r="F223">
        <v>0.28000000000000003</v>
      </c>
      <c r="G223">
        <v>0.2</v>
      </c>
    </row>
    <row r="224" spans="1:7" x14ac:dyDescent="0.15">
      <c r="A224" t="str">
        <f>HYPERLINK("./new_k5/query_cmdrels_weight_analyze/0.7_0.2_0.1/so_1293907.xlsx","so_1293907")</f>
        <v>so_1293907</v>
      </c>
      <c r="B224">
        <v>0</v>
      </c>
      <c r="C224">
        <v>0.33333333333333331</v>
      </c>
      <c r="D224">
        <v>0</v>
      </c>
      <c r="E224">
        <v>0.66666666666666663</v>
      </c>
      <c r="F224">
        <v>8.3333333333333329E-2</v>
      </c>
      <c r="G224">
        <v>0.91666666666666663</v>
      </c>
    </row>
    <row r="225" spans="1:7" x14ac:dyDescent="0.15">
      <c r="A225" t="str">
        <f>HYPERLINK("./new_k5/query_cmdrels_weight_analyze/0.7_0.2_0.1/so_13428910.xlsx","so_13428910")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HYPERLINK("./new_k5/query_cmdrels_weight_analyze/0.7_0.2_0.1/so_135688.xlsx","so_135688")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HYPERLINK("./new_k5/query_cmdrels_weight_analyze/0.7_0.2_0.1/so_13778273.xlsx","so_13778273")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HYPERLINK("./new_k5/query_cmdrels_weight_analyze/0.7_0.2_0.1/so_1405611.xlsx","so_1405611")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0.16666666666666671</v>
      </c>
      <c r="F228">
        <v>0.33333333333333331</v>
      </c>
      <c r="G228">
        <v>0.16666666666666671</v>
      </c>
    </row>
    <row r="229" spans="1:7" x14ac:dyDescent="0.15">
      <c r="A229" t="str">
        <f>HYPERLINK("./new_k5/query_cmdrels_weight_analyze/0.7_0.2_0.1/so_14300794.xlsx","so_14300794")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HYPERLINK("./new_k5/query_cmdrels_weight_analyze/0.7_0.2_0.1/so_143791.xlsx","so_143791")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HYPERLINK("./new_k5/query_cmdrels_weight_analyze/0.7_0.2_0.1/so_14750650.xlsx","so_14750650")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6.25E-2</v>
      </c>
    </row>
    <row r="232" spans="1:7" x14ac:dyDescent="0.15">
      <c r="A232" t="str">
        <f>HYPERLINK("./new_k5/query_cmdrels_weight_analyze/0.7_0.2_0.1/so_14978411.xlsx","so_14978411")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HYPERLINK("./new_k5/query_cmdrels_weight_analyze/0.7_0.2_0.1/so_15236308.xlsx","so_15236308")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HYPERLINK("./new_k5/query_cmdrels_weight_analyze/0.7_0.2_0.1/so_15286947.xlsx","so_15286947")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HYPERLINK("./new_k5/query_cmdrels_weight_analyze/0.7_0.2_0.1/so_15402770.xlsx","so_15402770")</f>
        <v>so_15402770</v>
      </c>
      <c r="B235">
        <v>0</v>
      </c>
      <c r="C235">
        <v>0.16666666666666671</v>
      </c>
      <c r="D235">
        <v>0.19444444444444439</v>
      </c>
      <c r="E235">
        <v>0.5</v>
      </c>
      <c r="F235">
        <v>0.19444444444444439</v>
      </c>
      <c r="G235">
        <v>0.66666666666666663</v>
      </c>
    </row>
    <row r="236" spans="1:7" x14ac:dyDescent="0.15">
      <c r="A236" t="str">
        <f>HYPERLINK("./new_k5/query_cmdrels_weight_analyze/0.7_0.2_0.1/so_1570262.xlsx","so_1570262")</f>
        <v>so_1570262</v>
      </c>
      <c r="B236">
        <v>0</v>
      </c>
      <c r="C236">
        <v>0</v>
      </c>
      <c r="D236">
        <v>0</v>
      </c>
      <c r="E236">
        <v>6.6666666666666666E-2</v>
      </c>
      <c r="F236">
        <v>0</v>
      </c>
      <c r="G236">
        <v>0.16666666666666671</v>
      </c>
    </row>
    <row r="237" spans="1:7" x14ac:dyDescent="0.15">
      <c r="A237" t="str">
        <f>HYPERLINK("./new_k5/query_cmdrels_weight_analyze/0.7_0.2_0.1/so_1583219.xlsx","so_1583219")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HYPERLINK("./new_k5/query_cmdrels_weight_analyze/0.7_0.2_0.1/so_15872543.xlsx","so_15872543")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HYPERLINK("./new_k5/query_cmdrels_weight_analyze/0.7_0.2_0.1/so_16038087.xlsx","so_16038087")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0.5714285714285714</v>
      </c>
    </row>
    <row r="240" spans="1:7" x14ac:dyDescent="0.15">
      <c r="A240" t="str">
        <f>HYPERLINK("./new_k5/query_cmdrels_weight_analyze/0.7_0.2_0.1/so_16212656.xlsx","so_16212656")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HYPERLINK("./new_k5/query_cmdrels_weight_analyze/0.7_0.2_0.1/so_16575419.xlsx","so_16575419")</f>
        <v>so_16575419</v>
      </c>
      <c r="B241">
        <v>0.25</v>
      </c>
      <c r="C241">
        <v>0.25</v>
      </c>
      <c r="D241">
        <v>0.25</v>
      </c>
      <c r="E241">
        <v>0.5</v>
      </c>
      <c r="F241">
        <v>0.25</v>
      </c>
      <c r="G241">
        <v>0.6875</v>
      </c>
    </row>
    <row r="242" spans="1:7" x14ac:dyDescent="0.15">
      <c r="A242" t="str">
        <f>HYPERLINK("./new_k5/query_cmdrels_weight_analyze/0.7_0.2_0.1/so_17582768.xlsx","so_17582768")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8.3333333333333329E-2</v>
      </c>
    </row>
    <row r="243" spans="1:7" x14ac:dyDescent="0.15">
      <c r="A243" t="str">
        <f>HYPERLINK("./new_k5/query_cmdrels_weight_analyze/0.7_0.2_0.1/so_17607612.xlsx","so_17607612")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HYPERLINK("./new_k5/query_cmdrels_weight_analyze/0.7_0.2_0.1/so_17829785.xlsx","so_17829785")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HYPERLINK("./new_k5/query_cmdrels_weight_analyze/0.7_0.2_0.1/so_1839841.xlsx","so_1839841")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HYPERLINK("./new_k5/query_cmdrels_weight_analyze/0.7_0.2_0.1/so_18468716.xlsx","so_18468716")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0.46666666666666662</v>
      </c>
    </row>
    <row r="247" spans="1:7" x14ac:dyDescent="0.15">
      <c r="A247" t="str">
        <f>HYPERLINK("./new_k5/query_cmdrels_weight_analyze/0.7_0.2_0.1/so_19196105.xlsx","so_19196105")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HYPERLINK("./new_k5/query_cmdrels_weight_analyze/0.7_0.2_0.1/so_19482123.xlsx","so_19482123")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HYPERLINK("./new_k5/query_cmdrels_weight_analyze/0.7_0.2_0.1/so_1975849.xlsx","so_1975849")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HYPERLINK("./new_k5/query_cmdrels_weight_analyze/0.7_0.2_0.1/so_212528.xlsx","so_212528")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0.43333333333333329</v>
      </c>
    </row>
    <row r="251" spans="1:7" x14ac:dyDescent="0.15">
      <c r="A251" t="str">
        <f>HYPERLINK("./new_k5/query_cmdrels_weight_analyze/0.7_0.2_0.1/so_21620406.xlsx","so_21620406")</f>
        <v>so_21620406</v>
      </c>
      <c r="B251">
        <v>0</v>
      </c>
      <c r="C251">
        <v>0</v>
      </c>
      <c r="D251">
        <v>0.1111111111111111</v>
      </c>
      <c r="E251">
        <v>0.1111111111111111</v>
      </c>
      <c r="F251">
        <v>0.1111111111111111</v>
      </c>
      <c r="G251">
        <v>0.1111111111111111</v>
      </c>
    </row>
    <row r="252" spans="1:7" x14ac:dyDescent="0.15">
      <c r="A252" t="str">
        <f>HYPERLINK("./new_k5/query_cmdrels_weight_analyze/0.7_0.2_0.1/so_23509348.xlsx","so_23509348")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HYPERLINK("./new_k5/query_cmdrels_weight_analyze/0.7_0.2_0.1/so_24058544.xlsx","so_24058544")</f>
        <v>so_24058544</v>
      </c>
      <c r="B253">
        <v>0.2</v>
      </c>
      <c r="C253">
        <v>0.2</v>
      </c>
      <c r="D253">
        <v>0.2</v>
      </c>
      <c r="E253">
        <v>0.33333333333333331</v>
      </c>
      <c r="F253">
        <v>0.2</v>
      </c>
      <c r="G253">
        <v>0.33333333333333331</v>
      </c>
    </row>
    <row r="254" spans="1:7" x14ac:dyDescent="0.15">
      <c r="A254" t="str">
        <f>HYPERLINK("./new_k5/query_cmdrels_weight_analyze/0.7_0.2_0.1/so_24283097.xlsx","so_24283097")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HYPERLINK("./new_k5/query_cmdrels_weight_analyze/0.7_0.2_0.1/so_26256279.xlsx","so_26256279")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HYPERLINK("./new_k5/query_cmdrels_weight_analyze/0.7_0.2_0.1/so_26331651.xlsx","so_26331651")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0.34523809523809518</v>
      </c>
    </row>
    <row r="257" spans="1:7" x14ac:dyDescent="0.15">
      <c r="A257" t="str">
        <f>HYPERLINK("./new_k5/query_cmdrels_weight_analyze/0.7_0.2_0.1/so_26988262.xlsx","so_26988262")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0.33333333333333331</v>
      </c>
    </row>
    <row r="258" spans="1:7" x14ac:dyDescent="0.15">
      <c r="A258" t="str">
        <f>HYPERLINK("./new_k5/query_cmdrels_weight_analyze/0.7_0.2_0.1/so_27238411.xlsx","so_27238411")</f>
        <v>so_27238411</v>
      </c>
      <c r="B258">
        <v>0.2</v>
      </c>
      <c r="C258">
        <v>0.2</v>
      </c>
      <c r="D258">
        <v>0.6</v>
      </c>
      <c r="E258">
        <v>0.6</v>
      </c>
      <c r="F258">
        <v>0.6</v>
      </c>
      <c r="G258">
        <v>0.6</v>
      </c>
    </row>
    <row r="259" spans="1:7" x14ac:dyDescent="0.15">
      <c r="A259" t="str">
        <f>HYPERLINK("./new_k5/query_cmdrels_weight_analyze/0.7_0.2_0.1/so_27943059.xlsx","so_27943059")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0.33333333333333331</v>
      </c>
      <c r="F259">
        <v>0.16666666666666671</v>
      </c>
      <c r="G259">
        <v>0.5</v>
      </c>
    </row>
    <row r="260" spans="1:7" x14ac:dyDescent="0.15">
      <c r="A260" t="str">
        <f>HYPERLINK("./new_k5/query_cmdrels_weight_analyze/0.7_0.2_0.1/so_28869004.xlsx","so_28869004")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HYPERLINK("./new_k5/query_cmdrels_weight_analyze/0.7_0.2_0.1/so_2973624.xlsx","so_2973624")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1</v>
      </c>
      <c r="F261">
        <v>0.66666666666666663</v>
      </c>
      <c r="G261">
        <v>1</v>
      </c>
    </row>
    <row r="262" spans="1:7" x14ac:dyDescent="0.15">
      <c r="A262" t="str">
        <f>HYPERLINK("./new_k5/query_cmdrels_weight_analyze/0.7_0.2_0.1/so_30177455.xlsx","so_30177455")</f>
        <v>so_30177455</v>
      </c>
      <c r="B262">
        <v>0</v>
      </c>
      <c r="C262">
        <v>0</v>
      </c>
      <c r="D262">
        <v>0.16666666666666671</v>
      </c>
      <c r="E262">
        <v>0</v>
      </c>
      <c r="F262">
        <v>0.16666666666666671</v>
      </c>
      <c r="G262">
        <v>8.3333333333333329E-2</v>
      </c>
    </row>
    <row r="263" spans="1:7" x14ac:dyDescent="0.15">
      <c r="A263" t="str">
        <f>HYPERLINK("./new_k5/query_cmdrels_weight_analyze/0.7_0.2_0.1/so_30251889.xlsx","so_30251889")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0.6791666666666667</v>
      </c>
    </row>
    <row r="264" spans="1:7" x14ac:dyDescent="0.15">
      <c r="A264" t="str">
        <f>HYPERLINK("./new_k5/query_cmdrels_weight_analyze/0.7_0.2_0.1/so_305035.xlsx","so_305035")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HYPERLINK("./new_k5/query_cmdrels_weight_analyze/0.7_0.2_0.1/so_36249744.xlsx","so_36249744")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HYPERLINK("./new_k5/query_cmdrels_weight_analyze/0.7_0.2_0.1/so_3643848.xlsx","so_3643848")</f>
        <v>so_3643848</v>
      </c>
      <c r="B266">
        <v>0.5</v>
      </c>
      <c r="C266">
        <v>0.5</v>
      </c>
      <c r="D266">
        <v>1</v>
      </c>
      <c r="E266">
        <v>0.5</v>
      </c>
      <c r="F266">
        <v>1</v>
      </c>
      <c r="G266">
        <v>0.75</v>
      </c>
    </row>
    <row r="267" spans="1:7" x14ac:dyDescent="0.15">
      <c r="A267" t="str">
        <f>HYPERLINK("./new_k5/query_cmdrels_weight_analyze/0.7_0.2_0.1/so_3667329.xlsx","so_3667329")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HYPERLINK("./new_k5/query_cmdrels_weight_analyze/0.7_0.2_0.1/so_369758.xlsx","so_369758")</f>
        <v>so_369758</v>
      </c>
      <c r="B268">
        <v>0.2</v>
      </c>
      <c r="C268">
        <v>0.2</v>
      </c>
      <c r="D268">
        <v>0.4</v>
      </c>
      <c r="E268">
        <v>0.33333333333333331</v>
      </c>
      <c r="F268">
        <v>0.4</v>
      </c>
      <c r="G268">
        <v>0.48333333333333328</v>
      </c>
    </row>
    <row r="269" spans="1:7" x14ac:dyDescent="0.15">
      <c r="A269" t="str">
        <f>HYPERLINK("./new_k5/query_cmdrels_weight_analyze/0.7_0.2_0.1/so_3756323.xlsx","so_3756323")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0.75</v>
      </c>
    </row>
    <row r="270" spans="1:7" x14ac:dyDescent="0.15">
      <c r="A270" t="str">
        <f>HYPERLINK("./new_k5/query_cmdrels_weight_analyze/0.7_0.2_0.1/so_3767267.xlsx","so_3767267")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HYPERLINK("./new_k5/query_cmdrels_weight_analyze/0.7_0.2_0.1/so_3833578.xlsx","so_3833578")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HYPERLINK("./new_k5/query_cmdrels_weight_analyze/0.7_0.2_0.1/so_3891076.xlsx","so_3891076")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0.52500000000000002</v>
      </c>
    </row>
    <row r="273" spans="1:7" x14ac:dyDescent="0.15">
      <c r="A273" t="str">
        <f>HYPERLINK("./new_k5/query_cmdrels_weight_analyze/0.7_0.2_0.1/so_3963085.xlsx","so_3963085")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HYPERLINK("./new_k5/query_cmdrels_weight_analyze/0.7_0.2_0.1/so_4325216.xlsx","so_4325216")</f>
        <v>so_4325216</v>
      </c>
      <c r="B274">
        <v>0.5</v>
      </c>
      <c r="C274">
        <v>0.5</v>
      </c>
      <c r="D274">
        <v>0.5</v>
      </c>
      <c r="E274">
        <v>0.5</v>
      </c>
      <c r="F274">
        <v>0.5</v>
      </c>
      <c r="G274">
        <v>0.75</v>
      </c>
    </row>
    <row r="275" spans="1:7" x14ac:dyDescent="0.15">
      <c r="A275" t="str">
        <f>HYPERLINK("./new_k5/query_cmdrels_weight_analyze/0.7_0.2_0.1/so_448005.xlsx","so_448005")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HYPERLINK("./new_k5/query_cmdrels_weight_analyze/0.7_0.2_0.1/so_4921879.xlsx","so_4921879")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HYPERLINK("./new_k5/query_cmdrels_weight_analyze/0.7_0.2_0.1/so_4922943.xlsx","so_4922943")</f>
        <v>so_4922943</v>
      </c>
      <c r="B277">
        <v>0.2</v>
      </c>
      <c r="C277">
        <v>0.2</v>
      </c>
      <c r="D277">
        <v>0.33333333333333331</v>
      </c>
      <c r="E277">
        <v>0.2</v>
      </c>
      <c r="F277">
        <v>0.33333333333333331</v>
      </c>
      <c r="G277">
        <v>0.3</v>
      </c>
    </row>
    <row r="278" spans="1:7" x14ac:dyDescent="0.15">
      <c r="A278" t="str">
        <f>HYPERLINK("./new_k5/query_cmdrels_weight_analyze/0.7_0.2_0.1/so_5119946.xlsx","so_5119946")</f>
        <v>so_5119946</v>
      </c>
      <c r="B278">
        <v>0.5</v>
      </c>
      <c r="C278">
        <v>0</v>
      </c>
      <c r="D278">
        <v>0.5</v>
      </c>
      <c r="E278">
        <v>0</v>
      </c>
      <c r="F278">
        <v>0.5</v>
      </c>
      <c r="G278">
        <v>0</v>
      </c>
    </row>
    <row r="279" spans="1:7" x14ac:dyDescent="0.15">
      <c r="A279" t="str">
        <f>HYPERLINK("./new_k5/query_cmdrels_weight_analyze/0.7_0.2_0.1/so_5164985.xlsx","so_5164985")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HYPERLINK("./new_k5/query_cmdrels_weight_analyze/0.7_0.2_0.1/so_5306153.xlsx","so_5306153")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HYPERLINK("./new_k5/query_cmdrels_weight_analyze/0.7_0.2_0.1/so_5566310.xlsx","so_5566310")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HYPERLINK("./new_k5/query_cmdrels_weight_analyze/0.7_0.2_0.1/so_5927369.xlsx","so_5927369")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HYPERLINK("./new_k5/query_cmdrels_weight_analyze/0.7_0.2_0.1/so_5947742.xlsx","so_5947742")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HYPERLINK("./new_k5/query_cmdrels_weight_analyze/0.7_0.2_0.1/so_614795.xlsx","so_614795")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HYPERLINK("./new_k5/query_cmdrels_weight_analyze/0.7_0.2_0.1/so_6207573.xlsx","so_6207573")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0.2857142857142857</v>
      </c>
      <c r="F285">
        <v>0.37142857142857139</v>
      </c>
      <c r="G285">
        <v>0.39285714285714279</v>
      </c>
    </row>
    <row r="286" spans="1:7" x14ac:dyDescent="0.15">
      <c r="A286" t="str">
        <f>HYPERLINK("./new_k5/query_cmdrels_weight_analyze/0.7_0.2_0.1/so_6283167.xlsx","so_6283167")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HYPERLINK("./new_k5/query_cmdrels_weight_analyze/0.7_0.2_0.1/so_6329505.xlsx","so_6329505")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HYPERLINK("./new_k5/query_cmdrels_weight_analyze/0.7_0.2_0.1/so_6423532.xlsx","so_6423532")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HYPERLINK("./new_k5/query_cmdrels_weight_analyze/0.7_0.2_0.1/so_669438.xlsx","so_669438")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0.33333333333333331</v>
      </c>
    </row>
    <row r="290" spans="1:7" x14ac:dyDescent="0.15">
      <c r="A290" t="str">
        <f>HYPERLINK("./new_k5/query_cmdrels_weight_analyze/0.7_0.2_0.1/so_7052875.xlsx","so_7052875")</f>
        <v>so_7052875</v>
      </c>
      <c r="B290">
        <v>0.2</v>
      </c>
      <c r="C290">
        <v>0</v>
      </c>
      <c r="D290">
        <v>0.2</v>
      </c>
      <c r="E290">
        <v>0.1</v>
      </c>
      <c r="F290">
        <v>0.2</v>
      </c>
      <c r="G290">
        <v>0.2</v>
      </c>
    </row>
    <row r="291" spans="1:7" x14ac:dyDescent="0.15">
      <c r="A291" t="str">
        <f>HYPERLINK("./new_k5/query_cmdrels_weight_analyze/0.7_0.2_0.1/so_7221757.xlsx","so_7221757")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HYPERLINK("./new_k5/query_cmdrels_weight_analyze/0.7_0.2_0.1/so_750604.xlsx","so_750604")</f>
        <v>so_750604</v>
      </c>
      <c r="B292">
        <v>0</v>
      </c>
      <c r="C292">
        <v>0</v>
      </c>
      <c r="D292">
        <v>0.1111111111111111</v>
      </c>
      <c r="E292">
        <v>0.1111111111111111</v>
      </c>
      <c r="F292">
        <v>0.1111111111111111</v>
      </c>
      <c r="G292">
        <v>0.27777777777777768</v>
      </c>
    </row>
    <row r="293" spans="1:7" x14ac:dyDescent="0.15">
      <c r="A293" t="str">
        <f>HYPERLINK("./new_k5/query_cmdrels_weight_analyze/0.7_0.2_0.1/so_7575267.xlsx","so_7575267")</f>
        <v>so_7575267</v>
      </c>
      <c r="B293">
        <v>0</v>
      </c>
      <c r="C293">
        <v>0.25</v>
      </c>
      <c r="D293">
        <v>0</v>
      </c>
      <c r="E293">
        <v>0.75</v>
      </c>
      <c r="F293">
        <v>0</v>
      </c>
      <c r="G293">
        <v>0.75</v>
      </c>
    </row>
    <row r="294" spans="1:7" x14ac:dyDescent="0.15">
      <c r="A294" t="str">
        <f>HYPERLINK("./new_k5/query_cmdrels_weight_analyze/0.7_0.2_0.1/so_7698488.xlsx","so_7698488")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0.16250000000000001</v>
      </c>
    </row>
    <row r="295" spans="1:7" x14ac:dyDescent="0.15">
      <c r="A295" t="str">
        <f>HYPERLINK("./new_k5/query_cmdrels_weight_analyze/0.7_0.2_0.1/so_801095.xlsx","so_801095")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0.33333333333333331</v>
      </c>
      <c r="F295">
        <v>0.33333333333333331</v>
      </c>
      <c r="G295">
        <v>0.5</v>
      </c>
    </row>
    <row r="296" spans="1:7" x14ac:dyDescent="0.15">
      <c r="A296" t="str">
        <f>HYPERLINK("./new_k5/query_cmdrels_weight_analyze/0.7_0.2_0.1/so_8249705.xlsx","so_8249705")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HYPERLINK("./new_k5/query_cmdrels_weight_analyze/0.7_0.2_0.1/so_8423541.xlsx","so_8423541")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HYPERLINK("./new_k5/query_cmdrels_weight_analyze/0.7_0.2_0.1/so_8654051.xlsx","so_8654051")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HYPERLINK("./new_k5/query_cmdrels_weight_analyze/0.7_0.2_0.1/so_890262.xlsx","so_890262")</f>
        <v>so_890262</v>
      </c>
      <c r="B299">
        <v>0</v>
      </c>
      <c r="C299">
        <v>0</v>
      </c>
      <c r="D299">
        <v>0</v>
      </c>
      <c r="E299">
        <v>0.1111111111111111</v>
      </c>
      <c r="F299">
        <v>0</v>
      </c>
      <c r="G299">
        <v>0.27777777777777768</v>
      </c>
    </row>
    <row r="300" spans="1:7" x14ac:dyDescent="0.15">
      <c r="A300" t="str">
        <f>HYPERLINK("./new_k5/query_cmdrels_weight_analyze/0.7_0.2_0.1/so_893585.xlsx","so_893585")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HYPERLINK("./new_k5/query_cmdrels_weight_analyze/0.7_0.2_0.1/so_9223460.xlsx","so_9223460")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HYPERLINK("./new_k5/query_cmdrels_weight_analyze/0.7_0.2_0.1/so_9245638.xlsx","so_9245638")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HYPERLINK("./new_k5/query_cmdrels_weight_analyze/0.7_0.2_0.1/so_9304953.xlsx","so_9304953")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0.6</v>
      </c>
    </row>
    <row r="304" spans="1:7" x14ac:dyDescent="0.15">
      <c r="A304" t="str">
        <f>HYPERLINK("./new_k5/query_cmdrels_weight_analyze/0.7_0.2_0.1/so_9361816.xlsx","so_9361816")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HYPERLINK("./new_k5/query_cmdrels_weight_analyze/0.7_0.2_0.1/su_116617.xlsx","su_116617")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HYPERLINK("./new_k5/query_cmdrels_weight_analyze/0.7_0.2_0.1/su_120045.xlsx","su_120045")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HYPERLINK("./new_k5/query_cmdrels_weight_analyze/0.7_0.2_0.1/su_127863.xlsx","su_127863")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HYPERLINK("./new_k5/query_cmdrels_weight_analyze/0.7_0.2_0.1/su_135498.xlsx","su_135498")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HYPERLINK("./new_k5/query_cmdrels_weight_analyze/0.7_0.2_0.1/su_147027.xlsx","su_147027")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HYPERLINK("./new_k5/query_cmdrels_weight_analyze/0.7_0.2_0.1/su_151911.xlsx","su_151911")</f>
        <v>su_151911</v>
      </c>
      <c r="B310">
        <v>0</v>
      </c>
      <c r="C310">
        <v>0</v>
      </c>
      <c r="D310">
        <v>0</v>
      </c>
      <c r="E310">
        <v>8.3333333333333329E-2</v>
      </c>
      <c r="F310">
        <v>0</v>
      </c>
      <c r="G310">
        <v>8.3333333333333329E-2</v>
      </c>
    </row>
    <row r="311" spans="1:7" x14ac:dyDescent="0.15">
      <c r="A311" t="str">
        <f>HYPERLINK("./new_k5/query_cmdrels_weight_analyze/0.7_0.2_0.1/su_153415.xlsx","su_153415")</f>
        <v>su_153415</v>
      </c>
      <c r="B311">
        <v>0.5</v>
      </c>
      <c r="C311">
        <v>0</v>
      </c>
      <c r="D311">
        <v>0.5</v>
      </c>
      <c r="E311">
        <v>0.25</v>
      </c>
      <c r="F311">
        <v>0.5</v>
      </c>
      <c r="G311">
        <v>0.25</v>
      </c>
    </row>
    <row r="312" spans="1:7" x14ac:dyDescent="0.15">
      <c r="A312" t="str">
        <f>HYPERLINK("./new_k5/query_cmdrels_weight_analyze/0.7_0.2_0.1/su_156189.xlsx","su_156189")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0.27777777777777768</v>
      </c>
    </row>
    <row r="313" spans="1:7" x14ac:dyDescent="0.15">
      <c r="A313" t="str">
        <f>HYPERLINK("./new_k5/query_cmdrels_weight_analyze/0.7_0.2_0.1/su_161531.xlsx","su_161531")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HYPERLINK("./new_k5/query_cmdrels_weight_analyze/0.7_0.2_0.1/su_204209.xlsx","su_204209")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HYPERLINK("./new_k5/query_cmdrels_weight_analyze/0.7_0.2_0.1/su_214390.xlsx","su_214390")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HYPERLINK("./new_k5/query_cmdrels_weight_analyze/0.7_0.2_0.1/su_215483.xlsx","su_215483")</f>
        <v>su_215483</v>
      </c>
      <c r="B316">
        <v>0.5</v>
      </c>
      <c r="C316">
        <v>0.5</v>
      </c>
      <c r="D316">
        <v>1</v>
      </c>
      <c r="E316">
        <v>0.5</v>
      </c>
      <c r="F316">
        <v>1</v>
      </c>
      <c r="G316">
        <v>0.5</v>
      </c>
    </row>
    <row r="317" spans="1:7" x14ac:dyDescent="0.15">
      <c r="A317" t="str">
        <f>HYPERLINK("./new_k5/query_cmdrels_weight_analyze/0.7_0.2_0.1/su_215504.xlsx","su_215504")</f>
        <v>su_215504</v>
      </c>
      <c r="B317">
        <v>0</v>
      </c>
      <c r="C317">
        <v>0.25</v>
      </c>
      <c r="D317">
        <v>0.29166666666666657</v>
      </c>
      <c r="E317">
        <v>0.41666666666666657</v>
      </c>
      <c r="F317">
        <v>0.44166666666666671</v>
      </c>
      <c r="G317">
        <v>0.60416666666666663</v>
      </c>
    </row>
    <row r="318" spans="1:7" x14ac:dyDescent="0.15">
      <c r="A318" t="str">
        <f>HYPERLINK("./new_k5/query_cmdrels_weight_analyze/0.7_0.2_0.1/su_227385.xlsx","su_227385")</f>
        <v>su_227385</v>
      </c>
      <c r="B318">
        <v>0</v>
      </c>
      <c r="C318">
        <v>0</v>
      </c>
      <c r="D318">
        <v>0</v>
      </c>
      <c r="E318">
        <v>0.29166666666666657</v>
      </c>
      <c r="F318">
        <v>0</v>
      </c>
      <c r="G318">
        <v>0.6791666666666667</v>
      </c>
    </row>
    <row r="319" spans="1:7" x14ac:dyDescent="0.15">
      <c r="A319" t="str">
        <f>HYPERLINK("./new_k5/query_cmdrels_weight_analyze/0.7_0.2_0.1/su_273254.xlsx","su_273254")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HYPERLINK("./new_k5/query_cmdrels_weight_analyze/0.7_0.2_0.1/su_294161.xlsx","su_294161")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HYPERLINK("./new_k5/query_cmdrels_weight_analyze/0.7_0.2_0.1/su_302396.xlsx","su_302396")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HYPERLINK("./new_k5/query_cmdrels_weight_analyze/0.7_0.2_0.1/su_303981.xlsx","su_303981")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HYPERLINK("./new_k5/query_cmdrels_weight_analyze/0.7_0.2_0.1/su_305128.xlsx","su_305128")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HYPERLINK("./new_k5/query_cmdrels_weight_analyze/0.7_0.2_0.1/su_31512.xlsx","su_31512")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HYPERLINK("./new_k5/query_cmdrels_weight_analyze/0.7_0.2_0.1/su_380520.xlsx","su_380520")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0.1111111111111111</v>
      </c>
      <c r="F325">
        <v>0.33333333333333331</v>
      </c>
      <c r="G325">
        <v>0.27777777777777768</v>
      </c>
    </row>
    <row r="326" spans="1:7" x14ac:dyDescent="0.15">
      <c r="A326" t="str">
        <f>HYPERLINK("./new_k5/query_cmdrels_weight_analyze/0.7_0.2_0.1/su_38981.xlsx","su_38981")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HYPERLINK("./new_k5/query_cmdrels_weight_analyze/0.7_0.2_0.1/su_437330.xlsx","su_437330")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HYPERLINK("./new_k5/query_cmdrels_weight_analyze/0.7_0.2_0.1/su_441379.xlsx","su_441379")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HYPERLINK("./new_k5/query_cmdrels_weight_analyze/0.7_0.2_0.1/su_462788.xlsx","su_462788")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0.33333333333333331</v>
      </c>
      <c r="F329">
        <v>0.30555555555555558</v>
      </c>
      <c r="G329">
        <v>0.42222222222222222</v>
      </c>
    </row>
    <row r="330" spans="1:7" x14ac:dyDescent="0.15">
      <c r="A330" t="str">
        <f>HYPERLINK("./new_k5/query_cmdrels_weight_analyze/0.7_0.2_0.1/su_626606.xlsx","su_626606")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0.83333333333333337</v>
      </c>
    </row>
    <row r="331" spans="1:7" x14ac:dyDescent="0.15">
      <c r="A331" t="str">
        <f>HYPERLINK("./new_k5/query_cmdrels_weight_analyze/0.7_0.2_0.1/su_634469.xlsx","su_634469")</f>
        <v>su_634469</v>
      </c>
      <c r="B331">
        <v>0</v>
      </c>
      <c r="C331">
        <v>0.16666666666666671</v>
      </c>
      <c r="D331">
        <v>0</v>
      </c>
      <c r="E331">
        <v>0.33333333333333331</v>
      </c>
      <c r="F331">
        <v>0</v>
      </c>
      <c r="G331">
        <v>0.45833333333333331</v>
      </c>
    </row>
    <row r="332" spans="1:7" x14ac:dyDescent="0.15">
      <c r="A332" t="str">
        <f>HYPERLINK("./new_k5/query_cmdrels_weight_analyze/0.7_0.2_0.1/su_638616.xlsx","su_638616")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HYPERLINK("./new_k5/query_cmdrels_weight_analyze/0.7_0.2_0.1/su_678113.xlsx","su_678113")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HYPERLINK("./new_k5/query_cmdrels_weight_analyze/0.7_0.2_0.1/su_686394.xlsx","su_686394")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HYPERLINK("./new_k5/query_cmdrels_weight_analyze/0.7_0.2_0.1/su_716795.xlsx","su_716795")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0.125</v>
      </c>
    </row>
    <row r="336" spans="1:7" x14ac:dyDescent="0.15">
      <c r="A336" t="str">
        <f>HYPERLINK("./new_k5/query_cmdrels_weight_analyze/0.7_0.2_0.1/su_758463.xlsx","su_758463")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HYPERLINK("./new_k5/query_cmdrels_weight_analyze/0.7_0.2_0.1/su_766437.xlsx","su_766437")</f>
        <v>su_766437</v>
      </c>
      <c r="B337">
        <v>0</v>
      </c>
      <c r="C337">
        <v>0</v>
      </c>
      <c r="D337">
        <v>0</v>
      </c>
      <c r="E337">
        <v>0.23333333333333331</v>
      </c>
      <c r="F337">
        <v>0.05</v>
      </c>
      <c r="G337">
        <v>0.35333333333333328</v>
      </c>
    </row>
    <row r="338" spans="1:7" x14ac:dyDescent="0.15">
      <c r="A338" t="str">
        <f>HYPERLINK("./new_k5/query_cmdrels_weight_analyze/0.7_0.2_0.1/su_904001.xlsx","su_904001")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HYPERLINK("./new_k5/query_cmdrels_weight_analyze/0.7_0.2_0.1/ul_100959.xlsx","ul_100959")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HYPERLINK("./new_k5/query_cmdrels_weight_analyze/0.7_0.2_0.1/ul_101073.xlsx","ul_101073")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HYPERLINK("./new_k5/query_cmdrels_weight_analyze/0.7_0.2_0.1/ul_101237.xlsx","ul_101237")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HYPERLINK("./new_k5/query_cmdrels_weight_analyze/0.7_0.2_0.1/ul_102752.xlsx","ul_102752")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HYPERLINK("./new_k5/query_cmdrels_weight_analyze/0.7_0.2_0.1/ul_108174.xlsx","ul_108174")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HYPERLINK("./new_k5/query_cmdrels_weight_analyze/0.7_0.2_0.1/ul_109536.xlsx","ul_109536")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HYPERLINK("./new_k5/query_cmdrels_weight_analyze/0.7_0.2_0.1/ul_112050.xlsx","ul_112050")</f>
        <v>ul_112050</v>
      </c>
      <c r="B345">
        <v>0</v>
      </c>
      <c r="C345">
        <v>0.25</v>
      </c>
      <c r="D345">
        <v>0.125</v>
      </c>
      <c r="E345">
        <v>0.75</v>
      </c>
      <c r="F345">
        <v>0.125</v>
      </c>
      <c r="G345">
        <v>0.75</v>
      </c>
    </row>
    <row r="346" spans="1:7" x14ac:dyDescent="0.15">
      <c r="A346" t="str">
        <f>HYPERLINK("./new_k5/query_cmdrels_weight_analyze/0.7_0.2_0.1/ul_116070.xlsx","ul_116070")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HYPERLINK("./new_k5/query_cmdrels_weight_analyze/0.7_0.2_0.1/ul_11851.xlsx","ul_11851")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HYPERLINK("./new_k5/query_cmdrels_weight_analyze/0.7_0.2_0.1/ul_119126.xlsx","ul_119126")</f>
        <v>ul_119126</v>
      </c>
      <c r="B348">
        <v>0</v>
      </c>
      <c r="C348">
        <v>0.2</v>
      </c>
      <c r="D348">
        <v>0.1</v>
      </c>
      <c r="E348">
        <v>0.4</v>
      </c>
      <c r="F348">
        <v>0.18</v>
      </c>
      <c r="G348">
        <v>0.55000000000000004</v>
      </c>
    </row>
    <row r="349" spans="1:7" x14ac:dyDescent="0.15">
      <c r="A349" t="str">
        <f>HYPERLINK("./new_k5/query_cmdrels_weight_analyze/0.7_0.2_0.1/ul_121718.xlsx","ul_121718")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HYPERLINK("./new_k5/query_cmdrels_weight_analyze/0.7_0.2_0.1/ul_12227.xlsx","ul_12227")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HYPERLINK("./new_k5/query_cmdrels_weight_analyze/0.7_0.2_0.1/ul_12453.xlsx","ul_12453")</f>
        <v>ul_12453</v>
      </c>
      <c r="B351">
        <v>0</v>
      </c>
      <c r="C351">
        <v>0.25</v>
      </c>
      <c r="D351">
        <v>0.125</v>
      </c>
      <c r="E351">
        <v>0.75</v>
      </c>
      <c r="F351">
        <v>0.125</v>
      </c>
      <c r="G351">
        <v>1</v>
      </c>
    </row>
    <row r="352" spans="1:7" x14ac:dyDescent="0.15">
      <c r="A352" t="str">
        <f>HYPERLINK("./new_k5/query_cmdrels_weight_analyze/0.7_0.2_0.1/ul_12535.xlsx","ul_12535")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0.16666666666666671</v>
      </c>
    </row>
    <row r="353" spans="1:7" x14ac:dyDescent="0.15">
      <c r="A353" t="str">
        <f>HYPERLINK("./new_k5/query_cmdrels_weight_analyze/0.7_0.2_0.1/ul_127066.xlsx","ul_127066")</f>
        <v>ul_127066</v>
      </c>
      <c r="B353">
        <v>0.25</v>
      </c>
      <c r="C353">
        <v>0.25</v>
      </c>
      <c r="D353">
        <v>0.25</v>
      </c>
      <c r="E353">
        <v>0.25</v>
      </c>
      <c r="F353">
        <v>0.25</v>
      </c>
      <c r="G353">
        <v>0.375</v>
      </c>
    </row>
    <row r="354" spans="1:7" x14ac:dyDescent="0.15">
      <c r="A354" t="str">
        <f>HYPERLINK("./new_k5/query_cmdrels_weight_analyze/0.7_0.2_0.1/ul_128953.xlsx","ul_128953")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HYPERLINK("./new_k5/query_cmdrels_weight_analyze/0.7_0.2_0.1/ul_134829.xlsx","ul_134829")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0.66666666666666663</v>
      </c>
    </row>
    <row r="356" spans="1:7" x14ac:dyDescent="0.15">
      <c r="A356" t="str">
        <f>HYPERLINK("./new_k5/query_cmdrels_weight_analyze/0.7_0.2_0.1/ul_136371.xlsx","ul_136371")</f>
        <v>ul_136371</v>
      </c>
      <c r="B356">
        <v>0</v>
      </c>
      <c r="C356">
        <v>0</v>
      </c>
      <c r="D356">
        <v>0</v>
      </c>
      <c r="E356">
        <v>0.1111111111111111</v>
      </c>
      <c r="F356">
        <v>0</v>
      </c>
      <c r="G356">
        <v>0.24444444444444449</v>
      </c>
    </row>
    <row r="357" spans="1:7" x14ac:dyDescent="0.15">
      <c r="A357" t="str">
        <f>HYPERLINK("./new_k5/query_cmdrels_weight_analyze/0.7_0.2_0.1/ul_136884.xlsx","ul_136884")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HYPERLINK("./new_k5/query_cmdrels_weight_analyze/0.7_0.2_0.1/ul_138398.xlsx","ul_138398")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HYPERLINK("./new_k5/query_cmdrels_weight_analyze/0.7_0.2_0.1/ul_139271.xlsx","ul_139271")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0.16666666666666671</v>
      </c>
      <c r="F359">
        <v>0.33333333333333331</v>
      </c>
      <c r="G359">
        <v>0.35</v>
      </c>
    </row>
    <row r="360" spans="1:7" x14ac:dyDescent="0.15">
      <c r="A360" t="str">
        <f>HYPERLINK("./new_k5/query_cmdrels_weight_analyze/0.7_0.2_0.1/ul_140482.xlsx","ul_140482")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HYPERLINK("./new_k5/query_cmdrels_weight_analyze/0.7_0.2_0.1/ul_14191.xlsx","ul_14191")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0.1111111111111111</v>
      </c>
    </row>
    <row r="362" spans="1:7" x14ac:dyDescent="0.15">
      <c r="A362" t="str">
        <f>HYPERLINK("./new_k5/query_cmdrels_weight_analyze/0.7_0.2_0.1/ul_145929.xlsx","ul_145929")</f>
        <v>ul_145929</v>
      </c>
      <c r="B362">
        <v>0</v>
      </c>
      <c r="C362">
        <v>0</v>
      </c>
      <c r="D362">
        <v>0.16666666666666671</v>
      </c>
      <c r="E362">
        <v>0.16666666666666671</v>
      </c>
      <c r="F362">
        <v>0.16666666666666671</v>
      </c>
      <c r="G362">
        <v>0.41666666666666657</v>
      </c>
    </row>
    <row r="363" spans="1:7" x14ac:dyDescent="0.15">
      <c r="A363" t="str">
        <f>HYPERLINK("./new_k5/query_cmdrels_weight_analyze/0.7_0.2_0.1/ul_148985.xlsx","ul_148985")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HYPERLINK("./new_k5/query_cmdrels_weight_analyze/0.7_0.2_0.1/ul_15405.xlsx","ul_15405")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HYPERLINK("./new_k5/query_cmdrels_weight_analyze/0.7_0.2_0.1/ul_155551.xlsx","ul_155551")</f>
        <v>ul_155551</v>
      </c>
      <c r="B365">
        <v>0</v>
      </c>
      <c r="C365">
        <v>0.5</v>
      </c>
      <c r="D365">
        <v>0</v>
      </c>
      <c r="E365">
        <v>0.83333333333333326</v>
      </c>
      <c r="F365">
        <v>0</v>
      </c>
      <c r="G365">
        <v>0.83333333333333326</v>
      </c>
    </row>
    <row r="366" spans="1:7" x14ac:dyDescent="0.15">
      <c r="A366" t="str">
        <f>HYPERLINK("./new_k5/query_cmdrels_weight_analyze/0.7_0.2_0.1/ul_159672.xlsx","ul_159672")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HYPERLINK("./new_k5/query_cmdrels_weight_analyze/0.7_0.2_0.1/ul_163845.xlsx","ul_163845")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HYPERLINK("./new_k5/query_cmdrels_weight_analyze/0.7_0.2_0.1/ul_16407.xlsx","ul_16407")</f>
        <v>ul_16407</v>
      </c>
      <c r="B368">
        <v>0.5</v>
      </c>
      <c r="C368">
        <v>0</v>
      </c>
      <c r="D368">
        <v>0.5</v>
      </c>
      <c r="E368">
        <v>0.25</v>
      </c>
      <c r="F368">
        <v>0.75</v>
      </c>
      <c r="G368">
        <v>0.25</v>
      </c>
    </row>
    <row r="369" spans="1:7" x14ac:dyDescent="0.15">
      <c r="A369" t="str">
        <f>HYPERLINK("./new_k5/query_cmdrels_weight_analyze/0.7_0.2_0.1/ul_166558.xlsx","ul_166558")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HYPERLINK("./new_k5/query_cmdrels_weight_analyze/0.7_0.2_0.1/ul_171314.xlsx","ul_171314")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0.33333333333333331</v>
      </c>
      <c r="F370">
        <v>0.16666666666666671</v>
      </c>
      <c r="G370">
        <v>0.33333333333333331</v>
      </c>
    </row>
    <row r="371" spans="1:7" x14ac:dyDescent="0.15">
      <c r="A371" t="str">
        <f>HYPERLINK("./new_k5/query_cmdrels_weight_analyze/0.7_0.2_0.1/ul_182032.xlsx","ul_182032")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HYPERLINK("./new_k5/query_cmdrels_weight_analyze/0.7_0.2_0.1/ul_19344.xlsx","ul_19344")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HYPERLINK("./new_k5/query_cmdrels_weight_analyze/0.7_0.2_0.1/ul_19369.xlsx","ul_19369")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0.1466666666666667</v>
      </c>
    </row>
    <row r="374" spans="1:7" x14ac:dyDescent="0.15">
      <c r="A374" t="str">
        <f>HYPERLINK("./new_k5/query_cmdrels_weight_analyze/0.7_0.2_0.1/ul_19485.xlsx","ul_19485")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HYPERLINK("./new_k5/query_cmdrels_weight_analyze/0.7_0.2_0.1/ul_20370.xlsx","ul_20370")</f>
        <v>ul_20370</v>
      </c>
      <c r="B375">
        <v>0</v>
      </c>
      <c r="C375">
        <v>0.5</v>
      </c>
      <c r="D375">
        <v>0</v>
      </c>
      <c r="E375">
        <v>0.5</v>
      </c>
      <c r="F375">
        <v>0</v>
      </c>
      <c r="G375">
        <v>0.5</v>
      </c>
    </row>
    <row r="376" spans="1:7" x14ac:dyDescent="0.15">
      <c r="A376" t="str">
        <f>HYPERLINK("./new_k5/query_cmdrels_weight_analyze/0.7_0.2_0.1/ul_211817.xlsx","ul_211817")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HYPERLINK("./new_k5/query_cmdrels_weight_analyze/0.7_0.2_0.1/ul_212925.xlsx","ul_212925")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HYPERLINK("./new_k5/query_cmdrels_weight_analyze/0.7_0.2_0.1/ul_21471.xlsx","ul_21471")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HYPERLINK("./new_k5/query_cmdrels_weight_analyze/0.7_0.2_0.1/ul_22545.xlsx","ul_22545")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HYPERLINK("./new_k5/query_cmdrels_weight_analyze/0.7_0.2_0.1/ul_230481.xlsx","ul_230481")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0.75555555555555554</v>
      </c>
    </row>
    <row r="381" spans="1:7" x14ac:dyDescent="0.15">
      <c r="A381" t="str">
        <f>HYPERLINK("./new_k5/query_cmdrels_weight_analyze/0.7_0.2_0.1/ul_230673.xlsx","ul_230673")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0.45</v>
      </c>
    </row>
    <row r="382" spans="1:7" x14ac:dyDescent="0.15">
      <c r="A382" t="str">
        <f>HYPERLINK("./new_k5/query_cmdrels_weight_analyze/0.7_0.2_0.1/ul_230800.xlsx","ul_230800")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HYPERLINK("./new_k5/query_cmdrels_weight_analyze/0.7_0.2_0.1/ul_232384.xlsx","ul_232384")</f>
        <v>ul_232384</v>
      </c>
      <c r="B383">
        <v>0</v>
      </c>
      <c r="C383">
        <v>0.5</v>
      </c>
      <c r="D383">
        <v>0</v>
      </c>
      <c r="E383">
        <v>0.83333333333333326</v>
      </c>
      <c r="F383">
        <v>0</v>
      </c>
      <c r="G383">
        <v>0.83333333333333326</v>
      </c>
    </row>
    <row r="384" spans="1:7" x14ac:dyDescent="0.15">
      <c r="A384" t="str">
        <f>HYPERLINK("./new_k5/query_cmdrels_weight_analyze/0.7_0.2_0.1/ul_24441.xlsx","ul_24441")</f>
        <v>ul_24441</v>
      </c>
      <c r="B384">
        <v>0</v>
      </c>
      <c r="C384">
        <v>0.5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HYPERLINK("./new_k5/query_cmdrels_weight_analyze/0.7_0.2_0.1/ul_246535.xlsx","ul_246535")</f>
        <v>ul_246535</v>
      </c>
      <c r="B385">
        <v>0.2</v>
      </c>
      <c r="C385">
        <v>0</v>
      </c>
      <c r="D385">
        <v>0.2</v>
      </c>
      <c r="E385">
        <v>0.23333333333333331</v>
      </c>
      <c r="F385">
        <v>0.2</v>
      </c>
      <c r="G385">
        <v>0.23333333333333331</v>
      </c>
    </row>
    <row r="386" spans="1:7" x14ac:dyDescent="0.15">
      <c r="A386" t="str">
        <f>HYPERLINK("./new_k5/query_cmdrels_weight_analyze/0.7_0.2_0.1/ul_259791.xlsx","ul_259791")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HYPERLINK("./new_k5/query_cmdrels_weight_analyze/0.7_0.2_0.1/ul_273971.xlsx","ul_273971")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0.16666666666666671</v>
      </c>
      <c r="F387">
        <v>0.43333333333333329</v>
      </c>
      <c r="G387">
        <v>0.25</v>
      </c>
    </row>
    <row r="388" spans="1:7" x14ac:dyDescent="0.15">
      <c r="A388" t="str">
        <f>HYPERLINK("./new_k5/query_cmdrels_weight_analyze/0.7_0.2_0.1/ul_28553.xlsx","ul_28553")</f>
        <v>ul_28553</v>
      </c>
      <c r="B388">
        <v>0.25</v>
      </c>
      <c r="C388">
        <v>0.25</v>
      </c>
      <c r="D388">
        <v>0.5</v>
      </c>
      <c r="E388">
        <v>0.25</v>
      </c>
      <c r="F388">
        <v>0.5</v>
      </c>
      <c r="G388">
        <v>0.25</v>
      </c>
    </row>
    <row r="389" spans="1:7" x14ac:dyDescent="0.15">
      <c r="A389" t="str">
        <f>HYPERLINK("./new_k5/query_cmdrels_weight_analyze/0.7_0.2_0.1/ul_288521.xlsx","ul_288521")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HYPERLINK("./new_k5/query_cmdrels_weight_analyze/0.7_0.2_0.1/ul_32290.xlsx","ul_32290")</f>
        <v>ul_32290</v>
      </c>
      <c r="B390">
        <v>0</v>
      </c>
      <c r="C390">
        <v>0</v>
      </c>
      <c r="D390">
        <v>0</v>
      </c>
      <c r="E390">
        <v>8.3333333333333329E-2</v>
      </c>
      <c r="F390">
        <v>0</v>
      </c>
      <c r="G390">
        <v>8.3333333333333329E-2</v>
      </c>
    </row>
    <row r="391" spans="1:7" x14ac:dyDescent="0.15">
      <c r="A391" t="str">
        <f>HYPERLINK("./new_k5/query_cmdrels_weight_analyze/0.7_0.2_0.1/ul_328882.xlsx","ul_328882")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HYPERLINK("./new_k5/query_cmdrels_weight_analyze/0.7_0.2_0.1/ul_35131.xlsx","ul_35131")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0.66666666666666663</v>
      </c>
    </row>
    <row r="393" spans="1:7" x14ac:dyDescent="0.15">
      <c r="A393" t="str">
        <f>HYPERLINK("./new_k5/query_cmdrels_weight_analyze/0.7_0.2_0.1/ul_35333.xlsx","ul_35333")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HYPERLINK("./new_k5/query_cmdrels_weight_analyze/0.7_0.2_0.1/ul_35711.xlsx","ul_35711")</f>
        <v>ul_35711</v>
      </c>
      <c r="B394">
        <v>0.5</v>
      </c>
      <c r="C394">
        <v>0</v>
      </c>
      <c r="D394">
        <v>0.5</v>
      </c>
      <c r="E394">
        <v>0.16666666666666671</v>
      </c>
      <c r="F394">
        <v>0.5</v>
      </c>
      <c r="G394">
        <v>0.16666666666666671</v>
      </c>
    </row>
    <row r="395" spans="1:7" x14ac:dyDescent="0.15">
      <c r="A395" t="str">
        <f>HYPERLINK("./new_k5/query_cmdrels_weight_analyze/0.7_0.2_0.1/ul_3575.xlsx","ul_3575")</f>
        <v>ul_3575</v>
      </c>
      <c r="B395">
        <v>0</v>
      </c>
      <c r="C395">
        <v>0</v>
      </c>
      <c r="D395">
        <v>8.3333333333333329E-2</v>
      </c>
      <c r="E395">
        <v>5.5555555555555552E-2</v>
      </c>
      <c r="F395">
        <v>8.3333333333333329E-2</v>
      </c>
      <c r="G395">
        <v>5.5555555555555552E-2</v>
      </c>
    </row>
    <row r="396" spans="1:7" x14ac:dyDescent="0.15">
      <c r="A396" t="str">
        <f>HYPERLINK("./new_k5/query_cmdrels_weight_analyze/0.7_0.2_0.1/ul_35832.xlsx","ul_35832")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HYPERLINK("./new_k5/query_cmdrels_weight_analyze/0.7_0.2_0.1/ul_370318.xlsx","ul_370318")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0.23809523809523811</v>
      </c>
      <c r="F397">
        <v>0.14285714285714279</v>
      </c>
      <c r="G397">
        <v>0.23809523809523811</v>
      </c>
    </row>
    <row r="398" spans="1:7" x14ac:dyDescent="0.15">
      <c r="A398" t="str">
        <f>HYPERLINK("./new_k5/query_cmdrels_weight_analyze/0.7_0.2_0.1/ul_37329.xlsx","ul_37329")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0.55555555555555547</v>
      </c>
      <c r="F398">
        <v>0.33333333333333331</v>
      </c>
      <c r="G398">
        <v>0.55555555555555547</v>
      </c>
    </row>
    <row r="399" spans="1:7" x14ac:dyDescent="0.15">
      <c r="A399" t="str">
        <f>HYPERLINK("./new_k5/query_cmdrels_weight_analyze/0.7_0.2_0.1/ul_38209.xlsx","ul_38209")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HYPERLINK("./new_k5/query_cmdrels_weight_analyze/0.7_0.2_0.1/ul_41246.xlsx","ul_41246")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HYPERLINK("./new_k5/query_cmdrels_weight_analyze/0.7_0.2_0.1/ul_41362.xlsx","ul_41362")</f>
        <v>ul_41362</v>
      </c>
      <c r="B401">
        <v>0</v>
      </c>
      <c r="C401">
        <v>0</v>
      </c>
      <c r="D401">
        <v>0</v>
      </c>
      <c r="E401">
        <v>8.3333333333333329E-2</v>
      </c>
      <c r="F401">
        <v>0</v>
      </c>
      <c r="G401">
        <v>8.3333333333333329E-2</v>
      </c>
    </row>
    <row r="402" spans="1:7" x14ac:dyDescent="0.15">
      <c r="A402" t="str">
        <f>HYPERLINK("./new_k5/query_cmdrels_weight_analyze/0.7_0.2_0.1/ul_48200.xlsx","ul_48200")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HYPERLINK("./new_k5/query_cmdrels_weight_analyze/0.7_0.2_0.1/ul_50098.xlsx","ul_50098")</f>
        <v>ul_50098</v>
      </c>
      <c r="B403">
        <v>0</v>
      </c>
      <c r="C403">
        <v>0</v>
      </c>
      <c r="D403">
        <v>0.1166666666666667</v>
      </c>
      <c r="E403">
        <v>0.05</v>
      </c>
      <c r="F403">
        <v>0.1166666666666667</v>
      </c>
      <c r="G403">
        <v>0.16</v>
      </c>
    </row>
    <row r="404" spans="1:7" x14ac:dyDescent="0.15">
      <c r="A404" t="str">
        <f>HYPERLINK("./new_k5/query_cmdrels_weight_analyze/0.7_0.2_0.1/ul_50785.xlsx","ul_50785")</f>
        <v>ul_50785</v>
      </c>
      <c r="B404">
        <v>0.25</v>
      </c>
      <c r="C404">
        <v>0</v>
      </c>
      <c r="D404">
        <v>0.25</v>
      </c>
      <c r="E404">
        <v>0.125</v>
      </c>
      <c r="F404">
        <v>0.25</v>
      </c>
      <c r="G404">
        <v>0.125</v>
      </c>
    </row>
    <row r="405" spans="1:7" x14ac:dyDescent="0.15">
      <c r="A405" t="str">
        <f>HYPERLINK("./new_k5/query_cmdrels_weight_analyze/0.7_0.2_0.1/ul_5085.xlsx","ul_5085")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HYPERLINK("./new_k5/query_cmdrels_weight_analyze/0.7_0.2_0.1/ul_53737.xlsx","ul_53737")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HYPERLINK("./new_k5/query_cmdrels_weight_analyze/0.7_0.2_0.1/ul_55125.xlsx","ul_55125")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HYPERLINK("./new_k5/query_cmdrels_weight_analyze/0.7_0.2_0.1/ul_56453.xlsx","ul_56453")</f>
        <v>ul_56453</v>
      </c>
      <c r="B408">
        <v>0</v>
      </c>
      <c r="C408">
        <v>0.25</v>
      </c>
      <c r="D408">
        <v>8.3333333333333329E-2</v>
      </c>
      <c r="E408">
        <v>0.25</v>
      </c>
      <c r="F408">
        <v>8.3333333333333329E-2</v>
      </c>
      <c r="G408">
        <v>0.52500000000000002</v>
      </c>
    </row>
    <row r="409" spans="1:7" x14ac:dyDescent="0.15">
      <c r="A409" t="str">
        <f>HYPERLINK("./new_k5/query_cmdrels_weight_analyze/0.7_0.2_0.1/ul_63648.xlsx","ul_63648")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HYPERLINK("./new_k5/query_cmdrels_weight_analyze/0.7_0.2_0.1/ul_6402.xlsx","ul_6402")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0.33333333333333331</v>
      </c>
    </row>
    <row r="411" spans="1:7" x14ac:dyDescent="0.15">
      <c r="A411" t="str">
        <f>HYPERLINK("./new_k5/query_cmdrels_weight_analyze/0.7_0.2_0.1/ul_65106.xlsx","ul_65106")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0.66666666666666663</v>
      </c>
    </row>
    <row r="412" spans="1:7" x14ac:dyDescent="0.15">
      <c r="A412" t="str">
        <f>HYPERLINK("./new_k5/query_cmdrels_weight_analyze/0.7_0.2_0.1/ul_65932.xlsx","ul_65932")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HYPERLINK("./new_k5/query_cmdrels_weight_analyze/0.7_0.2_0.1/ul_6596.xlsx","ul_6596")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HYPERLINK("./new_k5/query_cmdrels_weight_analyze/0.7_0.2_0.1/ul_67503.xlsx","ul_67503")</f>
        <v>ul_67503</v>
      </c>
      <c r="B414">
        <v>0</v>
      </c>
      <c r="C414">
        <v>0.5</v>
      </c>
      <c r="D414">
        <v>0.25</v>
      </c>
      <c r="E414">
        <v>0.5</v>
      </c>
      <c r="F414">
        <v>0.5</v>
      </c>
      <c r="G414">
        <v>0.5</v>
      </c>
    </row>
    <row r="415" spans="1:7" x14ac:dyDescent="0.15">
      <c r="A415" t="str">
        <f>HYPERLINK("./new_k5/query_cmdrels_weight_analyze/0.7_0.2_0.1/ul_67592.xlsx","ul_67592")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HYPERLINK("./new_k5/query_cmdrels_weight_analyze/0.7_0.2_0.1/ul_70581.xlsx","ul_70581")</f>
        <v>ul_70581</v>
      </c>
      <c r="B416">
        <v>0</v>
      </c>
      <c r="C416">
        <v>0.2</v>
      </c>
      <c r="D416">
        <v>0.1</v>
      </c>
      <c r="E416">
        <v>0.6</v>
      </c>
      <c r="F416">
        <v>0.1</v>
      </c>
      <c r="G416">
        <v>0.6</v>
      </c>
    </row>
    <row r="417" spans="1:7" x14ac:dyDescent="0.15">
      <c r="A417" t="str">
        <f>HYPERLINK("./new_k5/query_cmdrels_weight_analyze/0.7_0.2_0.1/ul_70614.xlsx","ul_70614")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HYPERLINK("./new_k5/query_cmdrels_weight_analyze/0.7_0.2_0.1/ul_71465.xlsx","ul_71465")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HYPERLINK("./new_k5/query_cmdrels_weight_analyze/0.7_0.2_0.1/ul_7226.xlsx","ul_7226")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0.33333333333333331</v>
      </c>
      <c r="F419">
        <v>0.33333333333333331</v>
      </c>
      <c r="G419">
        <v>0.5</v>
      </c>
    </row>
    <row r="420" spans="1:7" x14ac:dyDescent="0.15">
      <c r="A420" t="str">
        <f>HYPERLINK("./new_k5/query_cmdrels_weight_analyze/0.7_0.2_0.1/ul_78182.xlsx","ul_78182")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</v>
      </c>
    </row>
    <row r="421" spans="1:7" x14ac:dyDescent="0.15">
      <c r="A421" t="str">
        <f>HYPERLINK("./new_k5/query_cmdrels_weight_analyze/0.7_0.2_0.1/ul_79678.xlsx","ul_79678")</f>
        <v>ul_79678</v>
      </c>
      <c r="B421">
        <v>0</v>
      </c>
      <c r="C421">
        <v>0</v>
      </c>
      <c r="D421">
        <v>0.25</v>
      </c>
      <c r="E421">
        <v>0.16666666666666671</v>
      </c>
      <c r="F421">
        <v>0.25</v>
      </c>
      <c r="G421">
        <v>0.16666666666666671</v>
      </c>
    </row>
    <row r="422" spans="1:7" x14ac:dyDescent="0.15">
      <c r="A422" t="str">
        <f>HYPERLINK("./new_k5/query_cmdrels_weight_analyze/0.7_0.2_0.1/ul_79702.xlsx","ul_79702")</f>
        <v>ul_79702</v>
      </c>
      <c r="B422">
        <v>0</v>
      </c>
      <c r="C422">
        <v>0.33333333333333331</v>
      </c>
      <c r="D422">
        <v>0</v>
      </c>
      <c r="E422">
        <v>0.55555555555555547</v>
      </c>
      <c r="F422">
        <v>0</v>
      </c>
      <c r="G422">
        <v>0.75555555555555554</v>
      </c>
    </row>
    <row r="423" spans="1:7" x14ac:dyDescent="0.15">
      <c r="A423" t="str">
        <f>HYPERLINK("./new_k5/query_cmdrels_weight_analyze/0.7_0.2_0.1/ul_83593.xlsx","ul_83593")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HYPERLINK("./new_k5/query_cmdrels_weight_analyze/0.7_0.2_0.1/ul_84381.xlsx","ul_84381")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HYPERLINK("./new_k5/query_cmdrels_weight_analyze/0.7_0.2_0.1/ul_85180.xlsx","ul_85180")</f>
        <v>ul_85180</v>
      </c>
      <c r="B425">
        <v>0</v>
      </c>
      <c r="C425">
        <v>0.33333333333333331</v>
      </c>
      <c r="D425">
        <v>0.16666666666666671</v>
      </c>
      <c r="E425">
        <v>0.33333333333333331</v>
      </c>
      <c r="F425">
        <v>0.16666666666666671</v>
      </c>
      <c r="G425">
        <v>0.5</v>
      </c>
    </row>
    <row r="426" spans="1:7" x14ac:dyDescent="0.15">
      <c r="A426" t="str">
        <f>HYPERLINK("./new_k5/query_cmdrels_weight_analyze/0.7_0.2_0.1/ul_86071.xlsx","ul_86071")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HYPERLINK("./new_k5/query_cmdrels_weight_analyze/0.7_0.2_0.1/ul_86729.xlsx","ul_86729")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HYPERLINK("./new_k5/query_cmdrels_weight_analyze/0.7_0.2_0.1/ul_88824.xlsx","ul_88824")</f>
        <v>ul_88824</v>
      </c>
      <c r="B428">
        <v>0</v>
      </c>
      <c r="C428">
        <v>0.33333333333333331</v>
      </c>
      <c r="D428">
        <v>0</v>
      </c>
      <c r="E428">
        <v>0.33333333333333331</v>
      </c>
      <c r="F428">
        <v>0</v>
      </c>
      <c r="G428">
        <v>0.33333333333333331</v>
      </c>
    </row>
    <row r="429" spans="1:7" x14ac:dyDescent="0.15">
      <c r="A429" t="str">
        <f>HYPERLINK("./new_k5/query_cmdrels_weight_analyze/0.7_0.2_0.1/ul_8945.xlsx","ul_8945")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HYPERLINK("./new_k5/query_cmdrels_weight_analyze/0.7_0.2_0.1/ul_89933.xlsx","ul_89933")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HYPERLINK("./new_k5/query_cmdrels_weight_analyze/0.7_0.2_0.1/ul_91297.xlsx","ul_91297")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HYPERLINK("./new_k5/query_cmdrels_weight_analyze/0.7_0.2_0.1/ul_9252.xlsx","ul_9252")</f>
        <v>ul_9252</v>
      </c>
      <c r="B432">
        <v>0</v>
      </c>
      <c r="C432">
        <v>0</v>
      </c>
      <c r="D432">
        <v>0.23333333333333331</v>
      </c>
      <c r="E432">
        <v>6.6666666666666666E-2</v>
      </c>
      <c r="F432">
        <v>0.23333333333333331</v>
      </c>
      <c r="G432">
        <v>0.1466666666666667</v>
      </c>
    </row>
    <row r="433" spans="1:7" x14ac:dyDescent="0.15">
      <c r="A433" t="str">
        <f>HYPERLINK("./new_k5/query_cmdrels_weight_analyze/0.7_0.2_0.1/ul_92560.xlsx","ul_92560")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0.5</v>
      </c>
    </row>
    <row r="434" spans="1:7" x14ac:dyDescent="0.15">
      <c r="A434" t="str">
        <f>HYPERLINK("./new_k5/query_cmdrels_weight_analyze/0.7_0.2_0.1/ul_92799.xlsx","ul_92799")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0.5</v>
      </c>
      <c r="F434">
        <v>0.53611111111111109</v>
      </c>
      <c r="G434">
        <v>0.66666666666666663</v>
      </c>
    </row>
    <row r="435" spans="1:7" x14ac:dyDescent="0.15">
      <c r="A435" t="str">
        <f>HYPERLINK("./new_k5/query_cmdrels_weight_analyze/0.7_0.2_0.1/ul_93139.xlsx","ul_93139")</f>
        <v>ul_93139</v>
      </c>
      <c r="B435">
        <v>0</v>
      </c>
      <c r="C435">
        <v>0.5</v>
      </c>
      <c r="D435">
        <v>0.25</v>
      </c>
      <c r="E435">
        <v>0.5</v>
      </c>
      <c r="F435">
        <v>0.25</v>
      </c>
      <c r="G435">
        <v>0.5</v>
      </c>
    </row>
    <row r="436" spans="1:7" x14ac:dyDescent="0.15">
      <c r="A436" t="str">
        <f>HYPERLINK("./new_k5/query_cmdrels_weight_analyze/0.7_0.2_0.1/ul_98461.xlsx","ul_98461")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HYPERLINK("./new_k5/query_cmdrels_weight_analyze/0.8_0.1_0.1/au_102733.xlsx","au_102733")</f>
        <v>au_102733</v>
      </c>
      <c r="B3">
        <v>0.25</v>
      </c>
      <c r="C3">
        <v>0</v>
      </c>
      <c r="D3">
        <v>0.5</v>
      </c>
      <c r="E3">
        <v>0.125</v>
      </c>
      <c r="F3">
        <v>0.5</v>
      </c>
      <c r="G3">
        <v>0.125</v>
      </c>
    </row>
    <row r="4" spans="1:7" x14ac:dyDescent="0.15">
      <c r="A4" t="str">
        <f>HYPERLINK("./new_k5/query_cmdrels_weight_analyze/0.8_0.1_0.1/au_1029436.xlsx","au_1029436")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HYPERLINK("./new_k5/query_cmdrels_weight_analyze/0.8_0.1_0.1/au_1029502.xlsx","au_1029502")</f>
        <v>au_1029502</v>
      </c>
      <c r="B5">
        <v>0.25</v>
      </c>
      <c r="C5">
        <v>0</v>
      </c>
      <c r="D5">
        <v>0.25</v>
      </c>
      <c r="E5">
        <v>8.3333333333333329E-2</v>
      </c>
      <c r="F5">
        <v>0.375</v>
      </c>
      <c r="G5">
        <v>8.3333333333333329E-2</v>
      </c>
    </row>
    <row r="6" spans="1:7" x14ac:dyDescent="0.15">
      <c r="A6" t="str">
        <f>HYPERLINK("./new_k5/query_cmdrels_weight_analyze/0.8_0.1_0.1/au_1029531.xlsx","au_1029531")</f>
        <v>au_1029531</v>
      </c>
      <c r="B6">
        <v>0.33333333333333331</v>
      </c>
      <c r="C6">
        <v>0.33333333333333331</v>
      </c>
      <c r="D6">
        <v>0.33333333333333331</v>
      </c>
      <c r="E6">
        <v>0.33333333333333331</v>
      </c>
      <c r="F6">
        <v>0.46666666666666662</v>
      </c>
      <c r="G6">
        <v>0.33333333333333331</v>
      </c>
    </row>
    <row r="7" spans="1:7" x14ac:dyDescent="0.15">
      <c r="A7" t="str">
        <f>HYPERLINK("./new_k5/query_cmdrels_weight_analyze/0.8_0.1_0.1/au_104542.xlsx","au_104542")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HYPERLINK("./new_k5/query_cmdrels_weight_analyze/0.8_0.1_0.1/au_109070.xlsx","au_109070")</f>
        <v>au_109070</v>
      </c>
      <c r="B8">
        <v>0</v>
      </c>
      <c r="C8">
        <v>0</v>
      </c>
      <c r="D8">
        <v>0.23333333333333331</v>
      </c>
      <c r="E8">
        <v>0</v>
      </c>
      <c r="F8">
        <v>0.3833333333333333</v>
      </c>
      <c r="G8">
        <v>0.05</v>
      </c>
    </row>
    <row r="9" spans="1:7" x14ac:dyDescent="0.15">
      <c r="A9" t="str">
        <f>HYPERLINK("./new_k5/query_cmdrels_weight_analyze/0.8_0.1_0.1/au_109381.xlsx","au_109381")</f>
        <v>au_109381</v>
      </c>
      <c r="B9">
        <v>0</v>
      </c>
      <c r="C9">
        <v>0</v>
      </c>
      <c r="D9">
        <v>0.25</v>
      </c>
      <c r="E9">
        <v>0.25</v>
      </c>
      <c r="F9">
        <v>0.25</v>
      </c>
      <c r="G9">
        <v>0.25</v>
      </c>
    </row>
    <row r="10" spans="1:7" x14ac:dyDescent="0.15">
      <c r="A10" t="str">
        <f>HYPERLINK("./new_k5/query_cmdrels_weight_analyze/0.8_0.1_0.1/au_110477.xlsx","au_110477")</f>
        <v>au_110477</v>
      </c>
      <c r="B10">
        <v>0.25</v>
      </c>
      <c r="C10">
        <v>0.25</v>
      </c>
      <c r="D10">
        <v>0.5</v>
      </c>
      <c r="E10">
        <v>0.75</v>
      </c>
      <c r="F10">
        <v>0.5</v>
      </c>
      <c r="G10">
        <v>0.75</v>
      </c>
    </row>
    <row r="11" spans="1:7" x14ac:dyDescent="0.15">
      <c r="A11" t="str">
        <f>HYPERLINK("./new_k5/query_cmdrels_weight_analyze/0.8_0.1_0.1/au_111678.xlsx","au_111678")</f>
        <v>au_111678</v>
      </c>
      <c r="B11">
        <v>0</v>
      </c>
      <c r="C11">
        <v>0.33333333333333331</v>
      </c>
      <c r="D11">
        <v>0.1111111111111111</v>
      </c>
      <c r="E11">
        <v>0.33333333333333331</v>
      </c>
      <c r="F11">
        <v>0.1111111111111111</v>
      </c>
      <c r="G11">
        <v>0.33333333333333331</v>
      </c>
    </row>
    <row r="12" spans="1:7" x14ac:dyDescent="0.15">
      <c r="A12" t="str">
        <f>HYPERLINK("./new_k5/query_cmdrels_weight_analyze/0.8_0.1_0.1/au_112512.xlsx","au_112512")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HYPERLINK("./new_k5/query_cmdrels_weight_analyze/0.8_0.1_0.1/au_115369.xlsx","au_115369")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HYPERLINK("./new_k5/query_cmdrels_weight_analyze/0.8_0.1_0.1/au_11789.xlsx","au_11789")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HYPERLINK("./new_k5/query_cmdrels_weight_analyze/0.8_0.1_0.1/au_117950.xlsx","au_117950")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0.125</v>
      </c>
    </row>
    <row r="16" spans="1:7" x14ac:dyDescent="0.15">
      <c r="A16" t="str">
        <f>HYPERLINK("./new_k5/query_cmdrels_weight_analyze/0.8_0.1_0.1/au_122113.xlsx","au_122113")</f>
        <v>au_122113</v>
      </c>
      <c r="B16">
        <v>0.25</v>
      </c>
      <c r="C16">
        <v>0</v>
      </c>
      <c r="D16">
        <v>0.25</v>
      </c>
      <c r="E16">
        <v>8.3333333333333329E-2</v>
      </c>
      <c r="F16">
        <v>0.25</v>
      </c>
      <c r="G16">
        <v>0.20833333333333329</v>
      </c>
    </row>
    <row r="17" spans="1:7" x14ac:dyDescent="0.15">
      <c r="A17" t="str">
        <f>HYPERLINK("./new_k5/query_cmdrels_weight_analyze/0.8_0.1_0.1/au_123798.xlsx","au_123798")</f>
        <v>au_123798</v>
      </c>
      <c r="B17">
        <v>0</v>
      </c>
      <c r="C17">
        <v>0</v>
      </c>
      <c r="D17">
        <v>5.5555555555555552E-2</v>
      </c>
      <c r="E17">
        <v>8.3333333333333329E-2</v>
      </c>
      <c r="F17">
        <v>0.23888888888888879</v>
      </c>
      <c r="G17">
        <v>0.26666666666666672</v>
      </c>
    </row>
    <row r="18" spans="1:7" x14ac:dyDescent="0.15">
      <c r="A18" t="str">
        <f>HYPERLINK("./new_k5/query_cmdrels_weight_analyze/0.8_0.1_0.1/au_125257.xlsx","au_125257")</f>
        <v>au_125257</v>
      </c>
      <c r="B18">
        <v>0.25</v>
      </c>
      <c r="C18">
        <v>0.25</v>
      </c>
      <c r="D18">
        <v>0.41666666666666657</v>
      </c>
      <c r="E18">
        <v>0.5</v>
      </c>
      <c r="F18">
        <v>0.56666666666666665</v>
      </c>
      <c r="G18">
        <v>0.5</v>
      </c>
    </row>
    <row r="19" spans="1:7" x14ac:dyDescent="0.15">
      <c r="A19" t="str">
        <f>HYPERLINK("./new_k5/query_cmdrels_weight_analyze/0.8_0.1_0.1/au_126153.xlsx","au_126153")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0.33333333333333331</v>
      </c>
      <c r="F19">
        <v>0.45833333333333331</v>
      </c>
      <c r="G19">
        <v>0.43333333333333329</v>
      </c>
    </row>
    <row r="20" spans="1:7" x14ac:dyDescent="0.15">
      <c r="A20" t="str">
        <f>HYPERLINK("./new_k5/query_cmdrels_weight_analyze/0.8_0.1_0.1/au_127326.xlsx","au_127326")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HYPERLINK("./new_k5/query_cmdrels_weight_analyze/0.8_0.1_0.1/au_128463.xlsx","au_128463")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HYPERLINK("./new_k5/query_cmdrels_weight_analyze/0.8_0.1_0.1/au_130393.xlsx","au_130393")</f>
        <v>au_130393</v>
      </c>
      <c r="B22">
        <v>0</v>
      </c>
      <c r="C22">
        <v>0</v>
      </c>
      <c r="D22">
        <v>0.125</v>
      </c>
      <c r="E22">
        <v>0.29166666666666657</v>
      </c>
      <c r="F22">
        <v>0.125</v>
      </c>
      <c r="G22">
        <v>0.29166666666666657</v>
      </c>
    </row>
    <row r="23" spans="1:7" x14ac:dyDescent="0.15">
      <c r="A23" t="str">
        <f>HYPERLINK("./new_k5/query_cmdrels_weight_analyze/0.8_0.1_0.1/au_131570.xlsx","au_131570")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HYPERLINK("./new_k5/query_cmdrels_weight_analyze/0.8_0.1_0.1/au_133318.xlsx","au_133318")</f>
        <v>au_133318</v>
      </c>
      <c r="B24">
        <v>0</v>
      </c>
      <c r="C24">
        <v>0.25</v>
      </c>
      <c r="D24">
        <v>0</v>
      </c>
      <c r="E24">
        <v>0.41666666666666657</v>
      </c>
      <c r="F24">
        <v>0</v>
      </c>
      <c r="G24">
        <v>0.41666666666666657</v>
      </c>
    </row>
    <row r="25" spans="1:7" x14ac:dyDescent="0.15">
      <c r="A25" t="str">
        <f>HYPERLINK("./new_k5/query_cmdrels_weight_analyze/0.8_0.1_0.1/au_133343.xlsx","au_133343")</f>
        <v>au_133343</v>
      </c>
      <c r="B25">
        <v>0</v>
      </c>
      <c r="C25">
        <v>0.33333333333333331</v>
      </c>
      <c r="D25">
        <v>0</v>
      </c>
      <c r="E25">
        <v>0.66666666666666663</v>
      </c>
      <c r="F25">
        <v>0</v>
      </c>
      <c r="G25">
        <v>0.66666666666666663</v>
      </c>
    </row>
    <row r="26" spans="1:7" x14ac:dyDescent="0.15">
      <c r="A26" t="str">
        <f>HYPERLINK("./new_k5/query_cmdrels_weight_analyze/0.8_0.1_0.1/au_133389.xlsx","au_133389")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HYPERLINK("./new_k5/query_cmdrels_weight_analyze/0.8_0.1_0.1/au_141277.xlsx","au_141277")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HYPERLINK("./new_k5/query_cmdrels_weight_analyze/0.8_0.1_0.1/au_143819.xlsx","au_143819")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HYPERLINK("./new_k5/query_cmdrels_weight_analyze/0.8_0.1_0.1/au_145935.xlsx","au_145935")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HYPERLINK("./new_k5/query_cmdrels_weight_analyze/0.8_0.1_0.1/au_147241.xlsx","au_147241")</f>
        <v>au_147241</v>
      </c>
      <c r="B30">
        <v>0</v>
      </c>
      <c r="C30">
        <v>0</v>
      </c>
      <c r="D30">
        <v>0.29166666666666657</v>
      </c>
      <c r="E30">
        <v>0.29166666666666657</v>
      </c>
      <c r="F30">
        <v>0.29166666666666657</v>
      </c>
      <c r="G30">
        <v>0.47916666666666657</v>
      </c>
    </row>
    <row r="31" spans="1:7" x14ac:dyDescent="0.15">
      <c r="A31" t="str">
        <f>HYPERLINK("./new_k5/query_cmdrels_weight_analyze/0.8_0.1_0.1/au_147800.xlsx","au_147800")</f>
        <v>au_147800</v>
      </c>
      <c r="B31">
        <v>0</v>
      </c>
      <c r="C31">
        <v>0.33333333333333331</v>
      </c>
      <c r="D31">
        <v>0.1111111111111111</v>
      </c>
      <c r="E31">
        <v>0.33333333333333331</v>
      </c>
      <c r="F31">
        <v>0.1111111111111111</v>
      </c>
      <c r="G31">
        <v>0.33333333333333331</v>
      </c>
    </row>
    <row r="32" spans="1:7" x14ac:dyDescent="0.15">
      <c r="A32" t="str">
        <f>HYPERLINK("./new_k5/query_cmdrels_weight_analyze/0.8_0.1_0.1/au_148321.xlsx","au_148321")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0.40277777777777768</v>
      </c>
    </row>
    <row r="33" spans="1:7" x14ac:dyDescent="0.15">
      <c r="A33" t="str">
        <f>HYPERLINK("./new_k5/query_cmdrels_weight_analyze/0.8_0.1_0.1/au_148638.xlsx","au_148638")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HYPERLINK("./new_k5/query_cmdrels_weight_analyze/0.8_0.1_0.1/au_151049.xlsx","au_151049")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0.33333333333333331</v>
      </c>
      <c r="F34">
        <v>0.66666666666666663</v>
      </c>
      <c r="G34">
        <v>0.5</v>
      </c>
    </row>
    <row r="35" spans="1:7" x14ac:dyDescent="0.15">
      <c r="A35" t="str">
        <f>HYPERLINK("./new_k5/query_cmdrels_weight_analyze/0.8_0.1_0.1/au_151941.xlsx","au_151941")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HYPERLINK("./new_k5/query_cmdrels_weight_analyze/0.8_0.1_0.1/au_152297.xlsx","au_152297")</f>
        <v>au_152297</v>
      </c>
      <c r="B36">
        <v>0</v>
      </c>
      <c r="C36">
        <v>0</v>
      </c>
      <c r="D36">
        <v>7.1428571428571425E-2</v>
      </c>
      <c r="E36">
        <v>0.16666666666666671</v>
      </c>
      <c r="F36">
        <v>7.1428571428571425E-2</v>
      </c>
      <c r="G36">
        <v>0.25238095238095237</v>
      </c>
    </row>
    <row r="37" spans="1:7" x14ac:dyDescent="0.15">
      <c r="A37" t="str">
        <f>HYPERLINK("./new_k5/query_cmdrels_weight_analyze/0.8_0.1_0.1/au_153976.xlsx","au_153976")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0.27777777777777768</v>
      </c>
      <c r="F37">
        <v>0.33333333333333331</v>
      </c>
      <c r="G37">
        <v>0.37777777777777782</v>
      </c>
    </row>
    <row r="38" spans="1:7" x14ac:dyDescent="0.15">
      <c r="A38" t="str">
        <f>HYPERLINK("./new_k5/query_cmdrels_weight_analyze/0.8_0.1_0.1/au_154431.xlsx","au_154431")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HYPERLINK("./new_k5/query_cmdrels_weight_analyze/0.8_0.1_0.1/au_159708.xlsx","au_159708")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0.33333333333333331</v>
      </c>
      <c r="F39">
        <v>0.33333333333333331</v>
      </c>
      <c r="G39">
        <v>0.33333333333333331</v>
      </c>
    </row>
    <row r="40" spans="1:7" x14ac:dyDescent="0.15">
      <c r="A40" t="str">
        <f>HYPERLINK("./new_k5/query_cmdrels_weight_analyze/0.8_0.1_0.1/au_160869.xlsx","au_160869")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HYPERLINK("./new_k5/query_cmdrels_weight_analyze/0.8_0.1_0.1/au_161313.xlsx","au_161313")</f>
        <v>au_161313</v>
      </c>
      <c r="B41">
        <v>0.5</v>
      </c>
      <c r="C41">
        <v>0</v>
      </c>
      <c r="D41">
        <v>0.5</v>
      </c>
      <c r="E41">
        <v>0.16666666666666671</v>
      </c>
      <c r="F41">
        <v>0.5</v>
      </c>
      <c r="G41">
        <v>0.16666666666666671</v>
      </c>
    </row>
    <row r="42" spans="1:7" x14ac:dyDescent="0.15">
      <c r="A42" t="str">
        <f>HYPERLINK("./new_k5/query_cmdrels_weight_analyze/0.8_0.1_0.1/au_162075.xlsx","au_162075")</f>
        <v>au_162075</v>
      </c>
      <c r="B42">
        <v>0.25</v>
      </c>
      <c r="C42">
        <v>0.25</v>
      </c>
      <c r="D42">
        <v>0.5</v>
      </c>
      <c r="E42">
        <v>0.5</v>
      </c>
      <c r="F42">
        <v>0.5</v>
      </c>
      <c r="G42">
        <v>0.5</v>
      </c>
    </row>
    <row r="43" spans="1:7" x14ac:dyDescent="0.15">
      <c r="A43" t="str">
        <f>HYPERLINK("./new_k5/query_cmdrels_weight_analyze/0.8_0.1_0.1/au_16277.xlsx","au_16277")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0.83333333333333337</v>
      </c>
    </row>
    <row r="44" spans="1:7" x14ac:dyDescent="0.15">
      <c r="A44" t="str">
        <f>HYPERLINK("./new_k5/query_cmdrels_weight_analyze/0.8_0.1_0.1/au_163155.xlsx","au_163155")</f>
        <v>au_163155</v>
      </c>
      <c r="B44">
        <v>0.125</v>
      </c>
      <c r="C44">
        <v>0.125</v>
      </c>
      <c r="D44">
        <v>0.375</v>
      </c>
      <c r="E44">
        <v>0.375</v>
      </c>
      <c r="F44">
        <v>0.5</v>
      </c>
      <c r="G44">
        <v>0.47499999999999998</v>
      </c>
    </row>
    <row r="45" spans="1:7" x14ac:dyDescent="0.15">
      <c r="A45" t="str">
        <f>HYPERLINK("./new_k5/query_cmdrels_weight_analyze/0.8_0.1_0.1/au_164473.xlsx","au_164473")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HYPERLINK("./new_k5/query_cmdrels_weight_analyze/0.8_0.1_0.1/au_16584.xlsx","au_16584")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0.15151515151515149</v>
      </c>
      <c r="F46">
        <v>0.13636363636363641</v>
      </c>
      <c r="G46">
        <v>0.20606060606060611</v>
      </c>
    </row>
    <row r="47" spans="1:7" x14ac:dyDescent="0.15">
      <c r="A47" t="str">
        <f>HYPERLINK("./new_k5/query_cmdrels_weight_analyze/0.8_0.1_0.1/au_166420.xlsx","au_166420")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HYPERLINK("./new_k5/query_cmdrels_weight_analyze/0.8_0.1_0.1/au_169473.xlsx","au_169473")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0.33333333333333331</v>
      </c>
      <c r="F48">
        <v>0.43333333333333329</v>
      </c>
      <c r="G48">
        <v>0.43333333333333329</v>
      </c>
    </row>
    <row r="49" spans="1:7" x14ac:dyDescent="0.15">
      <c r="A49" t="str">
        <f>HYPERLINK("./new_k5/query_cmdrels_weight_analyze/0.8_0.1_0.1/au_169516.xlsx","au_169516")</f>
        <v>au_169516</v>
      </c>
      <c r="B49">
        <v>0.25</v>
      </c>
      <c r="C49">
        <v>0.25</v>
      </c>
      <c r="D49">
        <v>0.25</v>
      </c>
      <c r="E49">
        <v>0.5</v>
      </c>
      <c r="F49">
        <v>0.25</v>
      </c>
      <c r="G49">
        <v>0.5</v>
      </c>
    </row>
    <row r="50" spans="1:7" x14ac:dyDescent="0.15">
      <c r="A50" t="str">
        <f>HYPERLINK("./new_k5/query_cmdrels_weight_analyze/0.8_0.1_0.1/au_174292.xlsx","au_174292")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HYPERLINK("./new_k5/query_cmdrels_weight_analyze/0.8_0.1_0.1/au_178481.xlsx","au_178481")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HYPERLINK("./new_k5/query_cmdrels_weight_analyze/0.8_0.1_0.1/au_180925.xlsx","au_180925")</f>
        <v>au_180925</v>
      </c>
      <c r="B52">
        <v>0.5</v>
      </c>
      <c r="C52">
        <v>0</v>
      </c>
      <c r="D52">
        <v>0.5</v>
      </c>
      <c r="E52">
        <v>0.25</v>
      </c>
      <c r="F52">
        <v>0.5</v>
      </c>
      <c r="G52">
        <v>0.25</v>
      </c>
    </row>
    <row r="53" spans="1:7" x14ac:dyDescent="0.15">
      <c r="A53" t="str">
        <f>HYPERLINK("./new_k5/query_cmdrels_weight_analyze/0.8_0.1_0.1/au_187888.xlsx","au_187888")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HYPERLINK("./new_k5/query_cmdrels_weight_analyze/0.8_0.1_0.1/au_191390.xlsx","au_191390")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HYPERLINK("./new_k5/query_cmdrels_weight_analyze/0.8_0.1_0.1/au_192798.xlsx","au_192798")</f>
        <v>au_192798</v>
      </c>
      <c r="B55">
        <v>0</v>
      </c>
      <c r="C55">
        <v>0</v>
      </c>
      <c r="D55">
        <v>0</v>
      </c>
      <c r="E55">
        <v>0.5</v>
      </c>
      <c r="F55">
        <v>0</v>
      </c>
      <c r="G55">
        <v>0.5</v>
      </c>
    </row>
    <row r="56" spans="1:7" x14ac:dyDescent="0.15">
      <c r="A56" t="str">
        <f>HYPERLINK("./new_k5/query_cmdrels_weight_analyze/0.8_0.1_0.1/au_201775.xlsx","au_201775")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0.33333333333333331</v>
      </c>
      <c r="F56">
        <v>0.66666666666666663</v>
      </c>
      <c r="G56">
        <v>0.70000000000000007</v>
      </c>
    </row>
    <row r="57" spans="1:7" x14ac:dyDescent="0.15">
      <c r="A57" t="str">
        <f>HYPERLINK("./new_k5/query_cmdrels_weight_analyze/0.8_0.1_0.1/au_204166.xlsx","au_204166")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HYPERLINK("./new_k5/query_cmdrels_weight_analyze/0.8_0.1_0.1/au_207447.xlsx","au_207447")</f>
        <v>au_207447</v>
      </c>
      <c r="B58">
        <v>0.33333333333333331</v>
      </c>
      <c r="C58">
        <v>0</v>
      </c>
      <c r="D58">
        <v>0.33333333333333331</v>
      </c>
      <c r="E58">
        <v>0.16666666666666671</v>
      </c>
      <c r="F58">
        <v>0.33333333333333331</v>
      </c>
      <c r="G58">
        <v>0.33333333333333331</v>
      </c>
    </row>
    <row r="59" spans="1:7" x14ac:dyDescent="0.15">
      <c r="A59" t="str">
        <f>HYPERLINK("./new_k5/query_cmdrels_weight_analyze/0.8_0.1_0.1/au_210680.xlsx","au_210680")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HYPERLINK("./new_k5/query_cmdrels_weight_analyze/0.8_0.1_0.1/au_214246.xlsx","au_214246")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0.55000000000000004</v>
      </c>
    </row>
    <row r="61" spans="1:7" x14ac:dyDescent="0.15">
      <c r="A61" t="str">
        <f>HYPERLINK("./new_k5/query_cmdrels_weight_analyze/0.8_0.1_0.1/au_214643.xlsx","au_214643")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HYPERLINK("./new_k5/query_cmdrels_weight_analyze/0.8_0.1_0.1/au_2194.xlsx","au_2194")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HYPERLINK("./new_k5/query_cmdrels_weight_analyze/0.8_0.1_0.1/au_221962.xlsx","au_221962")</f>
        <v>au_221962</v>
      </c>
      <c r="B63">
        <v>0</v>
      </c>
      <c r="C63">
        <v>0</v>
      </c>
      <c r="D63">
        <v>5.5555555555555552E-2</v>
      </c>
      <c r="E63">
        <v>8.3333333333333329E-2</v>
      </c>
      <c r="F63">
        <v>0.1388888888888889</v>
      </c>
      <c r="G63">
        <v>0.26666666666666672</v>
      </c>
    </row>
    <row r="64" spans="1:7" x14ac:dyDescent="0.15">
      <c r="A64" t="str">
        <f>HYPERLINK("./new_k5/query_cmdrels_weight_analyze/0.8_0.1_0.1/au_22608.xlsx","au_22608")</f>
        <v>au_22608</v>
      </c>
      <c r="B64">
        <v>0.33333333333333331</v>
      </c>
      <c r="C64">
        <v>0</v>
      </c>
      <c r="D64">
        <v>0.33333333333333331</v>
      </c>
      <c r="E64">
        <v>0.16666666666666671</v>
      </c>
      <c r="F64">
        <v>0.33333333333333331</v>
      </c>
      <c r="G64">
        <v>0.33333333333333331</v>
      </c>
    </row>
    <row r="65" spans="1:7" x14ac:dyDescent="0.15">
      <c r="A65" t="str">
        <f>HYPERLINK("./new_k5/query_cmdrels_weight_analyze/0.8_0.1_0.1/au_230698.xlsx","au_230698")</f>
        <v>au_230698</v>
      </c>
      <c r="B65">
        <v>0.125</v>
      </c>
      <c r="C65">
        <v>0.125</v>
      </c>
      <c r="D65">
        <v>0.25</v>
      </c>
      <c r="E65">
        <v>0.20833333333333329</v>
      </c>
      <c r="F65">
        <v>0.32500000000000001</v>
      </c>
      <c r="G65">
        <v>0.28333333333333333</v>
      </c>
    </row>
    <row r="66" spans="1:7" x14ac:dyDescent="0.15">
      <c r="A66" t="str">
        <f>HYPERLINK("./new_k5/query_cmdrels_weight_analyze/0.8_0.1_0.1/au_232442.xlsx","au_232442")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HYPERLINK("./new_k5/query_cmdrels_weight_analyze/0.8_0.1_0.1/au_233378.xlsx","au_233378")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HYPERLINK("./new_k5/query_cmdrels_weight_analyze/0.8_0.1_0.1/au_24027.xlsx","au_24027")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0.43333333333333329</v>
      </c>
    </row>
    <row r="69" spans="1:7" x14ac:dyDescent="0.15">
      <c r="A69" t="str">
        <f>HYPERLINK("./new_k5/query_cmdrels_weight_analyze/0.8_0.1_0.1/au_246647.xlsx","au_246647")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HYPERLINK("./new_k5/query_cmdrels_weight_analyze/0.8_0.1_0.1/au_254424.xlsx","au_254424")</f>
        <v>au_254424</v>
      </c>
      <c r="B70">
        <v>0</v>
      </c>
      <c r="C70">
        <v>0</v>
      </c>
      <c r="D70">
        <v>0.125</v>
      </c>
      <c r="E70">
        <v>8.3333333333333329E-2</v>
      </c>
      <c r="F70">
        <v>0.125</v>
      </c>
      <c r="G70">
        <v>8.3333333333333329E-2</v>
      </c>
    </row>
    <row r="71" spans="1:7" x14ac:dyDescent="0.15">
      <c r="A71" t="str">
        <f>HYPERLINK("./new_k5/query_cmdrels_weight_analyze/0.8_0.1_0.1/au_255890.xlsx","au_255890")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HYPERLINK("./new_k5/query_cmdrels_weight_analyze/0.8_0.1_0.1/au_257248.xlsx","au_257248")</f>
        <v>au_257248</v>
      </c>
      <c r="B72">
        <v>0</v>
      </c>
      <c r="C72">
        <v>0.14285714285714279</v>
      </c>
      <c r="D72">
        <v>0.16666666666666671</v>
      </c>
      <c r="E72">
        <v>0.23809523809523811</v>
      </c>
      <c r="F72">
        <v>0.25238095238095237</v>
      </c>
      <c r="G72">
        <v>0.32380952380952382</v>
      </c>
    </row>
    <row r="73" spans="1:7" x14ac:dyDescent="0.15">
      <c r="A73" t="str">
        <f>HYPERLINK("./new_k5/query_cmdrels_weight_analyze/0.8_0.1_0.1/au_259354.xlsx","au_259354")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0.42857142857142849</v>
      </c>
    </row>
    <row r="74" spans="1:7" x14ac:dyDescent="0.15">
      <c r="A74" t="str">
        <f>HYPERLINK("./new_k5/query_cmdrels_weight_analyze/0.8_0.1_0.1/au_263378.xlsx","au_263378")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0.47499999999999998</v>
      </c>
    </row>
    <row r="75" spans="1:7" x14ac:dyDescent="0.15">
      <c r="A75" t="str">
        <f>HYPERLINK("./new_k5/query_cmdrels_weight_analyze/0.8_0.1_0.1/au_264215.xlsx","au_264215")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HYPERLINK("./new_k5/query_cmdrels_weight_analyze/0.8_0.1_0.1/au_265176.xlsx","au_265176")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HYPERLINK("./new_k5/query_cmdrels_weight_analyze/0.8_0.1_0.1/au_275704.xlsx","au_275704")</f>
        <v>au_275704</v>
      </c>
      <c r="B77">
        <v>1</v>
      </c>
      <c r="C77">
        <v>0</v>
      </c>
      <c r="D77">
        <v>1</v>
      </c>
      <c r="E77">
        <v>0.5</v>
      </c>
      <c r="F77">
        <v>1</v>
      </c>
      <c r="G77">
        <v>0.5</v>
      </c>
    </row>
    <row r="78" spans="1:7" x14ac:dyDescent="0.15">
      <c r="A78" t="str">
        <f>HYPERLINK("./new_k5/query_cmdrels_weight_analyze/0.8_0.1_0.1/au_276669.xlsx","au_276669")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HYPERLINK("./new_k5/query_cmdrels_weight_analyze/0.8_0.1_0.1/au_277565.xlsx","au_277565")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HYPERLINK("./new_k5/query_cmdrels_weight_analyze/0.8_0.1_0.1/au_278403.xlsx","au_278403")</f>
        <v>au_278403</v>
      </c>
      <c r="B80">
        <v>0</v>
      </c>
      <c r="C80">
        <v>0</v>
      </c>
      <c r="D80">
        <v>8.3333333333333329E-2</v>
      </c>
      <c r="E80">
        <v>0.125</v>
      </c>
      <c r="F80">
        <v>0.20833333333333329</v>
      </c>
      <c r="G80">
        <v>0.25</v>
      </c>
    </row>
    <row r="81" spans="1:7" x14ac:dyDescent="0.15">
      <c r="A81" t="str">
        <f>HYPERLINK("./new_k5/query_cmdrels_weight_analyze/0.8_0.1_0.1/au_28039.xlsx","au_28039")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HYPERLINK("./new_k5/query_cmdrels_weight_analyze/0.8_0.1_0.1/au_281509.xlsx","au_281509")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HYPERLINK("./new_k5/query_cmdrels_weight_analyze/0.8_0.1_0.1/au_282806.xlsx","au_282806")</f>
        <v>au_282806</v>
      </c>
      <c r="B83">
        <v>0</v>
      </c>
      <c r="C83">
        <v>0.33333333333333331</v>
      </c>
      <c r="D83">
        <v>0.38888888888888878</v>
      </c>
      <c r="E83">
        <v>0.33333333333333331</v>
      </c>
      <c r="F83">
        <v>0.38888888888888878</v>
      </c>
      <c r="G83">
        <v>0.70000000000000007</v>
      </c>
    </row>
    <row r="84" spans="1:7" x14ac:dyDescent="0.15">
      <c r="A84" t="str">
        <f>HYPERLINK("./new_k5/query_cmdrels_weight_analyze/0.8_0.1_0.1/au_283559.xlsx","au_283559")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HYPERLINK("./new_k5/query_cmdrels_weight_analyze/0.8_0.1_0.1/au_285539.xlsx","au_285539")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HYPERLINK("./new_k5/query_cmdrels_weight_analyze/0.8_0.1_0.1/au_287532.xlsx","au_287532")</f>
        <v>au_287532</v>
      </c>
      <c r="B86">
        <v>0</v>
      </c>
      <c r="C86">
        <v>0</v>
      </c>
      <c r="D86">
        <v>0</v>
      </c>
      <c r="E86">
        <v>8.3333333333333329E-2</v>
      </c>
      <c r="F86">
        <v>0</v>
      </c>
      <c r="G86">
        <v>8.3333333333333329E-2</v>
      </c>
    </row>
    <row r="87" spans="1:7" x14ac:dyDescent="0.15">
      <c r="A87" t="str">
        <f>HYPERLINK("./new_k5/query_cmdrels_weight_analyze/0.8_0.1_0.1/au_294257.xlsx","au_294257")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0.2857142857142857</v>
      </c>
      <c r="F87">
        <v>0.7142857142857143</v>
      </c>
      <c r="G87">
        <v>0.50714285714285712</v>
      </c>
    </row>
    <row r="88" spans="1:7" x14ac:dyDescent="0.15">
      <c r="A88" t="str">
        <f>HYPERLINK("./new_k5/query_cmdrels_weight_analyze/0.8_0.1_0.1/au_296155.xlsx","au_296155")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HYPERLINK("./new_k5/query_cmdrels_weight_analyze/0.8_0.1_0.1/au_299975.xlsx","au_299975")</f>
        <v>au_299975</v>
      </c>
      <c r="B89">
        <v>0.25</v>
      </c>
      <c r="C89">
        <v>0</v>
      </c>
      <c r="D89">
        <v>0.5</v>
      </c>
      <c r="E89">
        <v>8.3333333333333329E-2</v>
      </c>
      <c r="F89">
        <v>0.6875</v>
      </c>
      <c r="G89">
        <v>8.3333333333333329E-2</v>
      </c>
    </row>
    <row r="90" spans="1:7" x14ac:dyDescent="0.15">
      <c r="A90" t="str">
        <f>HYPERLINK("./new_k5/query_cmdrels_weight_analyze/0.8_0.1_0.1/au_301096.xlsx","au_301096")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HYPERLINK("./new_k5/query_cmdrels_weight_analyze/0.8_0.1_0.1/au_303593.xlsx","au_303593")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HYPERLINK("./new_k5/query_cmdrels_weight_analyze/0.8_0.1_0.1/au_303849.xlsx","au_303849")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HYPERLINK("./new_k5/query_cmdrels_weight_analyze/0.8_0.1_0.1/au_307541.xlsx","au_307541")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HYPERLINK("./new_k5/query_cmdrels_weight_analyze/0.8_0.1_0.1/au_307688.xlsx","au_307688")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HYPERLINK("./new_k5/query_cmdrels_weight_analyze/0.8_0.1_0.1/au_309047.xlsx","au_309047")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HYPERLINK("./new_k5/query_cmdrels_weight_analyze/0.8_0.1_0.1/au_311558.xlsx","au_311558")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0.41666666666666657</v>
      </c>
    </row>
    <row r="97" spans="1:7" x14ac:dyDescent="0.15">
      <c r="A97" t="str">
        <f>HYPERLINK("./new_k5/query_cmdrels_weight_analyze/0.8_0.1_0.1/au_318973.xlsx","au_318973")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HYPERLINK("./new_k5/query_cmdrels_weight_analyze/0.8_0.1_0.1/au_3205.xlsx","au_3205")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HYPERLINK("./new_k5/query_cmdrels_weight_analyze/0.8_0.1_0.1/au_323131.xlsx","au_323131")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HYPERLINK("./new_k5/query_cmdrels_weight_analyze/0.8_0.1_0.1/au_323392.xlsx","au_323392")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0.625</v>
      </c>
    </row>
    <row r="101" spans="1:7" x14ac:dyDescent="0.15">
      <c r="A101" t="str">
        <f>HYPERLINK("./new_k5/query_cmdrels_weight_analyze/0.8_0.1_0.1/au_325368.xlsx","au_325368")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HYPERLINK("./new_k5/query_cmdrels_weight_analyze/0.8_0.1_0.1/au_328162.xlsx","au_328162")</f>
        <v>au_328162</v>
      </c>
      <c r="B102">
        <v>0.33333333333333331</v>
      </c>
      <c r="C102">
        <v>0.33333333333333331</v>
      </c>
      <c r="D102">
        <v>1</v>
      </c>
      <c r="E102">
        <v>0.66666666666666663</v>
      </c>
      <c r="F102">
        <v>1</v>
      </c>
      <c r="G102">
        <v>0.66666666666666663</v>
      </c>
    </row>
    <row r="103" spans="1:7" x14ac:dyDescent="0.15">
      <c r="A103" t="str">
        <f>HYPERLINK("./new_k5/query_cmdrels_weight_analyze/0.8_0.1_0.1/au_330148.xlsx","au_330148")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HYPERLINK("./new_k5/query_cmdrels_weight_analyze/0.8_0.1_0.1/au_332315.xlsx","au_332315")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HYPERLINK("./new_k5/query_cmdrels_weight_analyze/0.8_0.1_0.1/au_334081.xlsx","au_334081")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HYPERLINK("./new_k5/query_cmdrels_weight_analyze/0.8_0.1_0.1/au_34077.xlsx","au_34077")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0.33333333333333331</v>
      </c>
      <c r="F106">
        <v>0.33333333333333331</v>
      </c>
      <c r="G106">
        <v>0.59166666666666667</v>
      </c>
    </row>
    <row r="107" spans="1:7" x14ac:dyDescent="0.15">
      <c r="A107" t="str">
        <f>HYPERLINK("./new_k5/query_cmdrels_weight_analyze/0.8_0.1_0.1/au_341428.xlsx","au_341428")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HYPERLINK("./new_k5/query_cmdrels_weight_analyze/0.8_0.1_0.1/au_341584.xlsx","au_341584")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HYPERLINK("./new_k5/query_cmdrels_weight_analyze/0.8_0.1_0.1/au_346864.xlsx","au_346864")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0.2857142857142857</v>
      </c>
      <c r="F109">
        <v>0.23809523809523811</v>
      </c>
      <c r="G109">
        <v>0.39285714285714279</v>
      </c>
    </row>
    <row r="110" spans="1:7" x14ac:dyDescent="0.15">
      <c r="A110" t="str">
        <f>HYPERLINK("./new_k5/query_cmdrels_weight_analyze/0.8_0.1_0.1/au_351765.xlsx","au_351765")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0.5</v>
      </c>
    </row>
    <row r="111" spans="1:7" x14ac:dyDescent="0.15">
      <c r="A111" t="str">
        <f>HYPERLINK("./new_k5/query_cmdrels_weight_analyze/0.8_0.1_0.1/au_35922.xlsx","au_35922")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HYPERLINK("./new_k5/query_cmdrels_weight_analyze/0.8_0.1_0.1/au_359856.xlsx","au_359856")</f>
        <v>au_359856</v>
      </c>
      <c r="B112">
        <v>0.25</v>
      </c>
      <c r="C112">
        <v>0.25</v>
      </c>
      <c r="D112">
        <v>0.75</v>
      </c>
      <c r="E112">
        <v>0.5</v>
      </c>
      <c r="F112">
        <v>0.95</v>
      </c>
      <c r="G112">
        <v>0.5</v>
      </c>
    </row>
    <row r="113" spans="1:7" x14ac:dyDescent="0.15">
      <c r="A113" t="str">
        <f>HYPERLINK("./new_k5/query_cmdrels_weight_analyze/0.8_0.1_0.1/au_360423.xlsx","au_360423")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HYPERLINK("./new_k5/query_cmdrels_weight_analyze/0.8_0.1_0.1/au_36287.xlsx","au_36287")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HYPERLINK("./new_k5/query_cmdrels_weight_analyze/0.8_0.1_0.1/au_366742.xlsx","au_366742")</f>
        <v>au_366742</v>
      </c>
      <c r="B115">
        <v>0</v>
      </c>
      <c r="C115">
        <v>0</v>
      </c>
      <c r="D115">
        <v>0</v>
      </c>
      <c r="E115">
        <v>8.3333333333333329E-2</v>
      </c>
      <c r="F115">
        <v>0</v>
      </c>
      <c r="G115">
        <v>0.20833333333333329</v>
      </c>
    </row>
    <row r="116" spans="1:7" x14ac:dyDescent="0.15">
      <c r="A116" t="str">
        <f>HYPERLINK("./new_k5/query_cmdrels_weight_analyze/0.8_0.1_0.1/au_377937.xlsx","au_377937")</f>
        <v>au_377937</v>
      </c>
      <c r="B116">
        <v>0.25</v>
      </c>
      <c r="C116">
        <v>0.25</v>
      </c>
      <c r="D116">
        <v>0.5</v>
      </c>
      <c r="E116">
        <v>0.75</v>
      </c>
      <c r="F116">
        <v>0.5</v>
      </c>
      <c r="G116">
        <v>0.75</v>
      </c>
    </row>
    <row r="117" spans="1:7" x14ac:dyDescent="0.15">
      <c r="A117" t="str">
        <f>HYPERLINK("./new_k5/query_cmdrels_weight_analyze/0.8_0.1_0.1/au_383997.xlsx","au_383997")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0.39285714285714279</v>
      </c>
    </row>
    <row r="118" spans="1:7" x14ac:dyDescent="0.15">
      <c r="A118" t="str">
        <f>HYPERLINK("./new_k5/query_cmdrels_weight_analyze/0.8_0.1_0.1/au_3883.xlsx","au_3883")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0.35</v>
      </c>
    </row>
    <row r="119" spans="1:7" x14ac:dyDescent="0.15">
      <c r="A119" t="str">
        <f>HYPERLINK("./new_k5/query_cmdrels_weight_analyze/0.8_0.1_0.1/au_396883.xlsx","au_396883")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HYPERLINK("./new_k5/query_cmdrels_weight_analyze/0.8_0.1_0.1/au_39760.xlsx","au_39760")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HYPERLINK("./new_k5/query_cmdrels_weight_analyze/0.8_0.1_0.1/au_398818.xlsx","au_398818")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HYPERLINK("./new_k5/query_cmdrels_weight_analyze/0.8_0.1_0.1/au_400807.xlsx","au_400807")</f>
        <v>au_400807</v>
      </c>
      <c r="B122">
        <v>0</v>
      </c>
      <c r="C122">
        <v>0.33333333333333331</v>
      </c>
      <c r="D122">
        <v>0.16666666666666671</v>
      </c>
      <c r="E122">
        <v>0.66666666666666663</v>
      </c>
      <c r="F122">
        <v>0.16666666666666671</v>
      </c>
      <c r="G122">
        <v>0.91666666666666663</v>
      </c>
    </row>
    <row r="123" spans="1:7" x14ac:dyDescent="0.15">
      <c r="A123" t="str">
        <f>HYPERLINK("./new_k5/query_cmdrels_weight_analyze/0.8_0.1_0.1/au_408611.xlsx","au_408611")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HYPERLINK("./new_k5/query_cmdrels_weight_analyze/0.8_0.1_0.1/au_414737.xlsx","au_414737")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HYPERLINK("./new_k5/query_cmdrels_weight_analyze/0.8_0.1_0.1/au_420722.xlsx","au_420722")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0.55555555555555547</v>
      </c>
      <c r="F125">
        <v>0.66666666666666663</v>
      </c>
      <c r="G125">
        <v>0.55555555555555547</v>
      </c>
    </row>
    <row r="126" spans="1:7" x14ac:dyDescent="0.15">
      <c r="A126" t="str">
        <f>HYPERLINK("./new_k5/query_cmdrels_weight_analyze/0.8_0.1_0.1/au_423942.xlsx","au_423942")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HYPERLINK("./new_k5/query_cmdrels_weight_analyze/0.8_0.1_0.1/au_430382.xlsx","au_430382")</f>
        <v>au_430382</v>
      </c>
      <c r="B127">
        <v>0</v>
      </c>
      <c r="C127">
        <v>0.25</v>
      </c>
      <c r="D127">
        <v>0.29166666666666657</v>
      </c>
      <c r="E127">
        <v>0.41666666666666657</v>
      </c>
      <c r="F127">
        <v>0.29166666666666657</v>
      </c>
      <c r="G127">
        <v>0.41666666666666657</v>
      </c>
    </row>
    <row r="128" spans="1:7" x14ac:dyDescent="0.15">
      <c r="A128" t="str">
        <f>HYPERLINK("./new_k5/query_cmdrels_weight_analyze/0.8_0.1_0.1/au_432836.xlsx","au_432836")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0.2857142857142857</v>
      </c>
      <c r="F128">
        <v>0.2142857142857143</v>
      </c>
      <c r="G128">
        <v>0.2857142857142857</v>
      </c>
    </row>
    <row r="129" spans="1:7" x14ac:dyDescent="0.15">
      <c r="A129" t="str">
        <f>HYPERLINK("./new_k5/query_cmdrels_weight_analyze/0.8_0.1_0.1/au_440326.xlsx","au_440326")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HYPERLINK("./new_k5/query_cmdrels_weight_analyze/0.8_0.1_0.1/au_442914.xlsx","au_442914")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HYPERLINK("./new_k5/query_cmdrels_weight_analyze/0.8_0.1_0.1/au_443227.xlsx","au_443227")</f>
        <v>au_443227</v>
      </c>
      <c r="B131">
        <v>0.5</v>
      </c>
      <c r="C131">
        <v>0</v>
      </c>
      <c r="D131">
        <v>0.5</v>
      </c>
      <c r="E131">
        <v>0</v>
      </c>
      <c r="F131">
        <v>0.5</v>
      </c>
      <c r="G131">
        <v>0.125</v>
      </c>
    </row>
    <row r="132" spans="1:7" x14ac:dyDescent="0.15">
      <c r="A132" t="str">
        <f>HYPERLINK("./new_k5/query_cmdrels_weight_analyze/0.8_0.1_0.1/au_44534.xlsx","au_44534")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HYPERLINK("./new_k5/query_cmdrels_weight_analyze/0.8_0.1_0.1/au_451805.xlsx","au_451805")</f>
        <v>au_451805</v>
      </c>
      <c r="B133">
        <v>0.33333333333333331</v>
      </c>
      <c r="C133">
        <v>0</v>
      </c>
      <c r="D133">
        <v>0.33333333333333331</v>
      </c>
      <c r="E133">
        <v>0.1111111111111111</v>
      </c>
      <c r="F133">
        <v>0.33333333333333331</v>
      </c>
      <c r="G133">
        <v>0.1111111111111111</v>
      </c>
    </row>
    <row r="134" spans="1:7" x14ac:dyDescent="0.15">
      <c r="A134" t="str">
        <f>HYPERLINK("./new_k5/query_cmdrels_weight_analyze/0.8_0.1_0.1/au_464264.xlsx","au_464264")</f>
        <v>au_464264</v>
      </c>
      <c r="B134">
        <v>0.2</v>
      </c>
      <c r="C134">
        <v>0</v>
      </c>
      <c r="D134">
        <v>0.33333333333333331</v>
      </c>
      <c r="E134">
        <v>0</v>
      </c>
      <c r="F134">
        <v>0.48333333333333328</v>
      </c>
      <c r="G134">
        <v>0.13</v>
      </c>
    </row>
    <row r="135" spans="1:7" x14ac:dyDescent="0.15">
      <c r="A135" t="str">
        <f>HYPERLINK("./new_k5/query_cmdrels_weight_analyze/0.8_0.1_0.1/au_468808.xlsx","au_468808")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HYPERLINK("./new_k5/query_cmdrels_weight_analyze/0.8_0.1_0.1/au_469143.xlsx","au_469143")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HYPERLINK("./new_k5/query_cmdrels_weight_analyze/0.8_0.1_0.1/au_470237.xlsx","au_470237")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HYPERLINK("./new_k5/query_cmdrels_weight_analyze/0.8_0.1_0.1/au_473037.xlsx","au_473037")</f>
        <v>au_473037</v>
      </c>
      <c r="B138">
        <v>0.5</v>
      </c>
      <c r="C138">
        <v>0</v>
      </c>
      <c r="D138">
        <v>0.83333333333333326</v>
      </c>
      <c r="E138">
        <v>0</v>
      </c>
      <c r="F138">
        <v>0.83333333333333326</v>
      </c>
      <c r="G138">
        <v>0.1</v>
      </c>
    </row>
    <row r="139" spans="1:7" x14ac:dyDescent="0.15">
      <c r="A139" t="str">
        <f>HYPERLINK("./new_k5/query_cmdrels_weight_analyze/0.8_0.1_0.1/au_48362.xlsx","au_48362")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HYPERLINK("./new_k5/query_cmdrels_weight_analyze/0.8_0.1_0.1/au_488435.xlsx","au_488435")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HYPERLINK("./new_k5/query_cmdrels_weight_analyze/0.8_0.1_0.1/au_493826.xlsx","au_493826")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0.23809523809523811</v>
      </c>
      <c r="F141">
        <v>0.14285714285714279</v>
      </c>
      <c r="G141">
        <v>0.23809523809523811</v>
      </c>
    </row>
    <row r="142" spans="1:7" x14ac:dyDescent="0.15">
      <c r="A142" t="str">
        <f>HYPERLINK("./new_k5/query_cmdrels_weight_analyze/0.8_0.1_0.1/au_502110.xlsx","au_502110")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HYPERLINK("./new_k5/query_cmdrels_weight_analyze/0.8_0.1_0.1/au_50344.xlsx","au_50344")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HYPERLINK("./new_k5/query_cmdrels_weight_analyze/0.8_0.1_0.1/au_511467.xlsx","au_511467")</f>
        <v>au_511467</v>
      </c>
      <c r="B144">
        <v>0</v>
      </c>
      <c r="C144">
        <v>0.16666666666666671</v>
      </c>
      <c r="D144">
        <v>0.19444444444444439</v>
      </c>
      <c r="E144">
        <v>0.27777777777777768</v>
      </c>
      <c r="F144">
        <v>0.19444444444444439</v>
      </c>
      <c r="G144">
        <v>0.40277777777777768</v>
      </c>
    </row>
    <row r="145" spans="1:7" x14ac:dyDescent="0.15">
      <c r="A145" t="str">
        <f>HYPERLINK("./new_k5/query_cmdrels_weight_analyze/0.8_0.1_0.1/au_513046.xlsx","au_513046")</f>
        <v>au_513046</v>
      </c>
      <c r="B145">
        <v>0.25</v>
      </c>
      <c r="C145">
        <v>0</v>
      </c>
      <c r="D145">
        <v>0.5</v>
      </c>
      <c r="E145">
        <v>8.3333333333333329E-2</v>
      </c>
      <c r="F145">
        <v>0.5</v>
      </c>
      <c r="G145">
        <v>0.35833333333333328</v>
      </c>
    </row>
    <row r="146" spans="1:7" x14ac:dyDescent="0.15">
      <c r="A146" t="str">
        <f>HYPERLINK("./new_k5/query_cmdrels_weight_analyze/0.8_0.1_0.1/au_517354.xlsx","au_517354")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0.34523809523809518</v>
      </c>
    </row>
    <row r="147" spans="1:7" x14ac:dyDescent="0.15">
      <c r="A147" t="str">
        <f>HYPERLINK("./new_k5/query_cmdrels_weight_analyze/0.8_0.1_0.1/au_522431.xlsx","au_522431")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0.3833333333333333</v>
      </c>
    </row>
    <row r="148" spans="1:7" x14ac:dyDescent="0.15">
      <c r="A148" t="str">
        <f>HYPERLINK("./new_k5/query_cmdrels_weight_analyze/0.8_0.1_0.1/au_52773.xlsx","au_52773")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0.04</v>
      </c>
    </row>
    <row r="149" spans="1:7" x14ac:dyDescent="0.15">
      <c r="A149" t="str">
        <f>HYPERLINK("./new_k5/query_cmdrels_weight_analyze/0.8_0.1_0.1/au_528411.xlsx","au_528411")</f>
        <v>au_528411</v>
      </c>
      <c r="B149">
        <v>0</v>
      </c>
      <c r="C149">
        <v>0</v>
      </c>
      <c r="D149">
        <v>0</v>
      </c>
      <c r="E149">
        <v>0.16666666666666671</v>
      </c>
      <c r="F149">
        <v>0</v>
      </c>
      <c r="G149">
        <v>0.16666666666666671</v>
      </c>
    </row>
    <row r="150" spans="1:7" x14ac:dyDescent="0.15">
      <c r="A150" t="str">
        <f>HYPERLINK("./new_k5/query_cmdrels_weight_analyze/0.8_0.1_0.1/au_53263.xlsx","au_53263")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0.95</v>
      </c>
    </row>
    <row r="151" spans="1:7" x14ac:dyDescent="0.15">
      <c r="A151" t="str">
        <f>HYPERLINK("./new_k5/query_cmdrels_weight_analyze/0.8_0.1_0.1/au_53444.xlsx","au_53444")</f>
        <v>au_53444</v>
      </c>
      <c r="B151">
        <v>0.5</v>
      </c>
      <c r="C151">
        <v>0</v>
      </c>
      <c r="D151">
        <v>0.5</v>
      </c>
      <c r="E151">
        <v>0.16666666666666671</v>
      </c>
      <c r="F151">
        <v>0.5</v>
      </c>
      <c r="G151">
        <v>0.16666666666666671</v>
      </c>
    </row>
    <row r="152" spans="1:7" x14ac:dyDescent="0.15">
      <c r="A152" t="str">
        <f>HYPERLINK("./new_k5/query_cmdrels_weight_analyze/0.8_0.1_0.1/au_538208.xlsx","au_538208")</f>
        <v>au_538208</v>
      </c>
      <c r="B152">
        <v>0.125</v>
      </c>
      <c r="C152">
        <v>0.125</v>
      </c>
      <c r="D152">
        <v>0.375</v>
      </c>
      <c r="E152">
        <v>0.25</v>
      </c>
      <c r="F152">
        <v>0.5</v>
      </c>
      <c r="G152">
        <v>0.44374999999999998</v>
      </c>
    </row>
    <row r="153" spans="1:7" x14ac:dyDescent="0.15">
      <c r="A153" t="str">
        <f>HYPERLINK("./new_k5/query_cmdrels_weight_analyze/0.8_0.1_0.1/au_53822.xlsx","au_53822")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HYPERLINK("./new_k5/query_cmdrels_weight_analyze/0.8_0.1_0.1/au_539243.xlsx","au_539243")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</v>
      </c>
    </row>
    <row r="155" spans="1:7" x14ac:dyDescent="0.15">
      <c r="A155" t="str">
        <f>HYPERLINK("./new_k5/query_cmdrels_weight_analyze/0.8_0.1_0.1/au_558280.xlsx","au_558280")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0.63888888888888884</v>
      </c>
    </row>
    <row r="156" spans="1:7" x14ac:dyDescent="0.15">
      <c r="A156" t="str">
        <f>HYPERLINK("./new_k5/query_cmdrels_weight_analyze/0.8_0.1_0.1/au_558669.xlsx","au_558669")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HYPERLINK("./new_k5/query_cmdrels_weight_analyze/0.8_0.1_0.1/au_55868.xlsx","au_55868")</f>
        <v>au_55868</v>
      </c>
      <c r="B157">
        <v>0</v>
      </c>
      <c r="C157">
        <v>0.1111111111111111</v>
      </c>
      <c r="D157">
        <v>5.5555555555555552E-2</v>
      </c>
      <c r="E157">
        <v>0.22222222222222221</v>
      </c>
      <c r="F157">
        <v>0.1111111111111111</v>
      </c>
      <c r="G157">
        <v>0.39444444444444438</v>
      </c>
    </row>
    <row r="158" spans="1:7" x14ac:dyDescent="0.15">
      <c r="A158" t="str">
        <f>HYPERLINK("./new_k5/query_cmdrels_weight_analyze/0.8_0.1_0.1/au_561.xlsx","au_561")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0.5</v>
      </c>
    </row>
    <row r="159" spans="1:7" x14ac:dyDescent="0.15">
      <c r="A159" t="str">
        <f>HYPERLINK("./new_k5/query_cmdrels_weight_analyze/0.8_0.1_0.1/au_564567.xlsx","au_564567")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HYPERLINK("./new_k5/query_cmdrels_weight_analyze/0.8_0.1_0.1/au_57994.xlsx","au_57994")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0.42857142857142849</v>
      </c>
      <c r="F160">
        <v>0.5714285714285714</v>
      </c>
      <c r="G160">
        <v>0.5714285714285714</v>
      </c>
    </row>
    <row r="161" spans="1:7" x14ac:dyDescent="0.15">
      <c r="A161" t="str">
        <f>HYPERLINK("./new_k5/query_cmdrels_weight_analyze/0.8_0.1_0.1/au_589210.xlsx","au_589210")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0.35</v>
      </c>
    </row>
    <row r="162" spans="1:7" x14ac:dyDescent="0.15">
      <c r="A162" t="str">
        <f>HYPERLINK("./new_k5/query_cmdrels_weight_analyze/0.8_0.1_0.1/au_5911.xlsx","au_5911")</f>
        <v>au_5911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</row>
    <row r="163" spans="1:7" x14ac:dyDescent="0.15">
      <c r="A163" t="str">
        <f>HYPERLINK("./new_k5/query_cmdrels_weight_analyze/0.8_0.1_0.1/au_59356.xlsx","au_59356")</f>
        <v>au_59356</v>
      </c>
      <c r="B163">
        <v>0</v>
      </c>
      <c r="C163">
        <v>0</v>
      </c>
      <c r="D163">
        <v>0.16666666666666671</v>
      </c>
      <c r="E163">
        <v>0</v>
      </c>
      <c r="F163">
        <v>0.16666666666666671</v>
      </c>
      <c r="G163">
        <v>0</v>
      </c>
    </row>
    <row r="164" spans="1:7" x14ac:dyDescent="0.15">
      <c r="A164" t="str">
        <f>HYPERLINK("./new_k5/query_cmdrels_weight_analyze/0.8_0.1_0.1/au_609850.xlsx","au_609850")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HYPERLINK("./new_k5/query_cmdrels_weight_analyze/0.8_0.1_0.1/au_61408.xlsx","au_61408")</f>
        <v>au_61408</v>
      </c>
      <c r="B165">
        <v>0</v>
      </c>
      <c r="C165">
        <v>0.33333333333333331</v>
      </c>
      <c r="D165">
        <v>0.16666666666666671</v>
      </c>
      <c r="E165">
        <v>0.66666666666666663</v>
      </c>
      <c r="F165">
        <v>0.16666666666666671</v>
      </c>
      <c r="G165">
        <v>0.66666666666666663</v>
      </c>
    </row>
    <row r="166" spans="1:7" x14ac:dyDescent="0.15">
      <c r="A166" t="str">
        <f>HYPERLINK("./new_k5/query_cmdrels_weight_analyze/0.8_0.1_0.1/au_617850.xlsx","au_617850")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HYPERLINK("./new_k5/query_cmdrels_weight_analyze/0.8_0.1_0.1/au_62073.xlsx","au_62073")</f>
        <v>au_62073</v>
      </c>
      <c r="B167">
        <v>0</v>
      </c>
      <c r="C167">
        <v>0.2</v>
      </c>
      <c r="D167">
        <v>0.23333333333333331</v>
      </c>
      <c r="E167">
        <v>0.4</v>
      </c>
      <c r="F167">
        <v>0.23333333333333331</v>
      </c>
      <c r="G167">
        <v>0.71</v>
      </c>
    </row>
    <row r="168" spans="1:7" x14ac:dyDescent="0.15">
      <c r="A168" t="str">
        <f>HYPERLINK("./new_k5/query_cmdrels_weight_analyze/0.8_0.1_0.1/au_620930.xlsx","au_620930")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0.48333333333333328</v>
      </c>
    </row>
    <row r="169" spans="1:7" x14ac:dyDescent="0.15">
      <c r="A169" t="str">
        <f>HYPERLINK("./new_k5/query_cmdrels_weight_analyze/0.8_0.1_0.1/au_62492.xlsx","au_62492")</f>
        <v>au_62492</v>
      </c>
      <c r="B169">
        <v>0.2</v>
      </c>
      <c r="C169">
        <v>0.2</v>
      </c>
      <c r="D169">
        <v>0.33333333333333331</v>
      </c>
      <c r="E169">
        <v>0.6</v>
      </c>
      <c r="F169">
        <v>0.48333333333333328</v>
      </c>
      <c r="G169">
        <v>0.76</v>
      </c>
    </row>
    <row r="170" spans="1:7" x14ac:dyDescent="0.15">
      <c r="A170" t="str">
        <f>HYPERLINK("./new_k5/query_cmdrels_weight_analyze/0.8_0.1_0.1/au_626078.xlsx","au_626078")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HYPERLINK("./new_k5/query_cmdrels_weight_analyze/0.8_0.1_0.1/au_636944.xlsx","au_636944")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HYPERLINK("./new_k5/query_cmdrels_weight_analyze/0.8_0.1_0.1/au_648603.xlsx","au_648603")</f>
        <v>au_648603</v>
      </c>
      <c r="B172">
        <v>0.25</v>
      </c>
      <c r="C172">
        <v>0.25</v>
      </c>
      <c r="D172">
        <v>0.25</v>
      </c>
      <c r="E172">
        <v>0.5</v>
      </c>
      <c r="F172">
        <v>0.25</v>
      </c>
      <c r="G172">
        <v>0.65</v>
      </c>
    </row>
    <row r="173" spans="1:7" x14ac:dyDescent="0.15">
      <c r="A173" t="str">
        <f>HYPERLINK("./new_k5/query_cmdrels_weight_analyze/0.8_0.1_0.1/au_65331.xlsx","au_65331")</f>
        <v>au_65331</v>
      </c>
      <c r="B173">
        <v>0</v>
      </c>
      <c r="C173">
        <v>0.16666666666666671</v>
      </c>
      <c r="D173">
        <v>8.3333333333333329E-2</v>
      </c>
      <c r="E173">
        <v>0.27777777777777768</v>
      </c>
      <c r="F173">
        <v>0.16666666666666671</v>
      </c>
      <c r="G173">
        <v>0.37777777777777782</v>
      </c>
    </row>
    <row r="174" spans="1:7" x14ac:dyDescent="0.15">
      <c r="A174" t="str">
        <f>HYPERLINK("./new_k5/query_cmdrels_weight_analyze/0.8_0.1_0.1/au_66000.xlsx","au_66000")</f>
        <v>au_66000</v>
      </c>
      <c r="B174">
        <v>0</v>
      </c>
      <c r="C174">
        <v>0.2</v>
      </c>
      <c r="D174">
        <v>0</v>
      </c>
      <c r="E174">
        <v>0.33333333333333331</v>
      </c>
      <c r="F174">
        <v>0</v>
      </c>
      <c r="G174">
        <v>0.64333333333333331</v>
      </c>
    </row>
    <row r="175" spans="1:7" x14ac:dyDescent="0.15">
      <c r="A175" t="str">
        <f>HYPERLINK("./new_k5/query_cmdrels_weight_analyze/0.8_0.1_0.1/au_660846.xlsx","au_660846")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HYPERLINK("./new_k5/query_cmdrels_weight_analyze/0.8_0.1_0.1/au_662935.xlsx","au_662935")</f>
        <v>au_662935</v>
      </c>
      <c r="B176">
        <v>0.125</v>
      </c>
      <c r="C176">
        <v>0.125</v>
      </c>
      <c r="D176">
        <v>0.125</v>
      </c>
      <c r="E176">
        <v>0.375</v>
      </c>
      <c r="F176">
        <v>0.125</v>
      </c>
      <c r="G176">
        <v>0.375</v>
      </c>
    </row>
    <row r="177" spans="1:7" x14ac:dyDescent="0.15">
      <c r="A177" t="str">
        <f>HYPERLINK("./new_k5/query_cmdrels_weight_analyze/0.8_0.1_0.1/au_67663.xlsx","au_67663")</f>
        <v>au_67663</v>
      </c>
      <c r="B177">
        <v>0</v>
      </c>
      <c r="C177">
        <v>0.25</v>
      </c>
      <c r="D177">
        <v>0.29166666666666657</v>
      </c>
      <c r="E177">
        <v>0.75</v>
      </c>
      <c r="F177">
        <v>0.29166666666666657</v>
      </c>
      <c r="G177">
        <v>0.75</v>
      </c>
    </row>
    <row r="178" spans="1:7" x14ac:dyDescent="0.15">
      <c r="A178" t="str">
        <f>HYPERLINK("./new_k5/query_cmdrels_weight_analyze/0.8_0.1_0.1/au_68028.xlsx","au_68028")</f>
        <v>au_68028</v>
      </c>
      <c r="B178">
        <v>0.14285714285714279</v>
      </c>
      <c r="C178">
        <v>0</v>
      </c>
      <c r="D178">
        <v>0.2857142857142857</v>
      </c>
      <c r="E178">
        <v>7.1428571428571425E-2</v>
      </c>
      <c r="F178">
        <v>0.37142857142857139</v>
      </c>
      <c r="G178">
        <v>0.22857142857142859</v>
      </c>
    </row>
    <row r="179" spans="1:7" x14ac:dyDescent="0.15">
      <c r="A179" t="str">
        <f>HYPERLINK("./new_k5/query_cmdrels_weight_analyze/0.8_0.1_0.1/au_681312.xlsx","au_681312")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0.2857142857142857</v>
      </c>
      <c r="F179">
        <v>0.42857142857142849</v>
      </c>
      <c r="G179">
        <v>0.50714285714285712</v>
      </c>
    </row>
    <row r="180" spans="1:7" x14ac:dyDescent="0.15">
      <c r="A180" t="str">
        <f>HYPERLINK("./new_k5/query_cmdrels_weight_analyze/0.8_0.1_0.1/au_686239.xlsx","au_686239")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HYPERLINK("./new_k5/query_cmdrels_weight_analyze/0.8_0.1_0.1/au_68809.xlsx","au_68809")</f>
        <v>au_68809</v>
      </c>
      <c r="B181">
        <v>0.125</v>
      </c>
      <c r="C181">
        <v>0.125</v>
      </c>
      <c r="D181">
        <v>0.20833333333333329</v>
      </c>
      <c r="E181">
        <v>0.125</v>
      </c>
      <c r="F181">
        <v>0.28333333333333333</v>
      </c>
      <c r="G181">
        <v>0.1875</v>
      </c>
    </row>
    <row r="182" spans="1:7" x14ac:dyDescent="0.15">
      <c r="A182" t="str">
        <f>HYPERLINK("./new_k5/query_cmdrels_weight_analyze/0.8_0.1_0.1/au_69556.xlsx","au_69556")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HYPERLINK("./new_k5/query_cmdrels_weight_analyze/0.8_0.1_0.1/au_698993.xlsx","au_698993")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HYPERLINK("./new_k5/query_cmdrels_weight_analyze/0.8_0.1_0.1/au_707881.xlsx","au_707881")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HYPERLINK("./new_k5/query_cmdrels_weight_analyze/0.8_0.1_0.1/au_709594.xlsx","au_709594")</f>
        <v>au_709594</v>
      </c>
      <c r="B185">
        <v>0.33333333333333331</v>
      </c>
      <c r="C185">
        <v>0</v>
      </c>
      <c r="D185">
        <v>0.66666666666666663</v>
      </c>
      <c r="E185">
        <v>0</v>
      </c>
      <c r="F185">
        <v>0.91666666666666663</v>
      </c>
      <c r="G185">
        <v>0</v>
      </c>
    </row>
    <row r="186" spans="1:7" x14ac:dyDescent="0.15">
      <c r="A186" t="str">
        <f>HYPERLINK("./new_k5/query_cmdrels_weight_analyze/0.8_0.1_0.1/au_71309.xlsx","au_71309")</f>
        <v>au_71309</v>
      </c>
      <c r="B186">
        <v>0.125</v>
      </c>
      <c r="C186">
        <v>0</v>
      </c>
      <c r="D186">
        <v>0.20833333333333329</v>
      </c>
      <c r="E186">
        <v>0.14583333333333329</v>
      </c>
      <c r="F186">
        <v>0.20833333333333329</v>
      </c>
      <c r="G186">
        <v>0.23958333333333329</v>
      </c>
    </row>
    <row r="187" spans="1:7" x14ac:dyDescent="0.15">
      <c r="A187" t="str">
        <f>HYPERLINK("./new_k5/query_cmdrels_weight_analyze/0.8_0.1_0.1/au_7138.xlsx","au_7138")</f>
        <v>au_7138</v>
      </c>
      <c r="B187">
        <v>0.25</v>
      </c>
      <c r="C187">
        <v>0</v>
      </c>
      <c r="D187">
        <v>0.75</v>
      </c>
      <c r="E187">
        <v>8.3333333333333329E-2</v>
      </c>
      <c r="F187">
        <v>0.75</v>
      </c>
      <c r="G187">
        <v>8.3333333333333329E-2</v>
      </c>
    </row>
    <row r="188" spans="1:7" x14ac:dyDescent="0.15">
      <c r="A188" t="str">
        <f>HYPERLINK("./new_k5/query_cmdrels_weight_analyze/0.8_0.1_0.1/au_72549.xlsx","au_72549")</f>
        <v>au_72549</v>
      </c>
      <c r="B188">
        <v>0</v>
      </c>
      <c r="C188">
        <v>0</v>
      </c>
      <c r="D188">
        <v>0</v>
      </c>
      <c r="E188">
        <v>0.125</v>
      </c>
      <c r="F188">
        <v>0</v>
      </c>
      <c r="G188">
        <v>0.125</v>
      </c>
    </row>
    <row r="189" spans="1:7" x14ac:dyDescent="0.15">
      <c r="A189" t="str">
        <f>HYPERLINK("./new_k5/query_cmdrels_weight_analyze/0.8_0.1_0.1/au_740805.xlsx","au_740805")</f>
        <v>au_740805</v>
      </c>
      <c r="B189">
        <v>0.25</v>
      </c>
      <c r="C189">
        <v>0</v>
      </c>
      <c r="D189">
        <v>0.41666666666666657</v>
      </c>
      <c r="E189">
        <v>8.3333333333333329E-2</v>
      </c>
      <c r="F189">
        <v>0.41666666666666657</v>
      </c>
      <c r="G189">
        <v>0.18333333333333329</v>
      </c>
    </row>
    <row r="190" spans="1:7" x14ac:dyDescent="0.15">
      <c r="A190" t="str">
        <f>HYPERLINK("./new_k5/query_cmdrels_weight_analyze/0.8_0.1_0.1/au_760796.xlsx","au_760796")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HYPERLINK("./new_k5/query_cmdrels_weight_analyze/0.8_0.1_0.1/au_762846.xlsx","au_762846")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0.45833333333333331</v>
      </c>
    </row>
    <row r="192" spans="1:7" x14ac:dyDescent="0.15">
      <c r="A192" t="str">
        <f>HYPERLINK("./new_k5/query_cmdrels_weight_analyze/0.8_0.1_0.1/au_767786.xlsx","au_767786")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0.8</v>
      </c>
    </row>
    <row r="193" spans="1:7" x14ac:dyDescent="0.15">
      <c r="A193" t="str">
        <f>HYPERLINK("./new_k5/query_cmdrels_weight_analyze/0.8_0.1_0.1/au_778906.xlsx","au_778906")</f>
        <v>au_778906</v>
      </c>
      <c r="B193">
        <v>0.2</v>
      </c>
      <c r="C193">
        <v>0.2</v>
      </c>
      <c r="D193">
        <v>0.33333333333333331</v>
      </c>
      <c r="E193">
        <v>0.6</v>
      </c>
      <c r="F193">
        <v>0.33333333333333331</v>
      </c>
      <c r="G193">
        <v>0.6</v>
      </c>
    </row>
    <row r="194" spans="1:7" x14ac:dyDescent="0.15">
      <c r="A194" t="str">
        <f>HYPERLINK("./new_k5/query_cmdrels_weight_analyze/0.8_0.1_0.1/au_818929.xlsx","au_818929")</f>
        <v>au_818929</v>
      </c>
      <c r="B194">
        <v>0</v>
      </c>
      <c r="C194">
        <v>0.2</v>
      </c>
      <c r="D194">
        <v>0</v>
      </c>
      <c r="E194">
        <v>0.33333333333333331</v>
      </c>
      <c r="F194">
        <v>0</v>
      </c>
      <c r="G194">
        <v>0.45333333333333331</v>
      </c>
    </row>
    <row r="195" spans="1:7" x14ac:dyDescent="0.15">
      <c r="A195" t="str">
        <f>HYPERLINK("./new_k5/query_cmdrels_weight_analyze/0.8_0.1_0.1/au_844876.xlsx","au_844876")</f>
        <v>au_844876</v>
      </c>
      <c r="B195">
        <v>0.5</v>
      </c>
      <c r="C195">
        <v>0.5</v>
      </c>
      <c r="D195">
        <v>0.5</v>
      </c>
      <c r="E195">
        <v>1</v>
      </c>
      <c r="F195">
        <v>0.5</v>
      </c>
      <c r="G195">
        <v>1</v>
      </c>
    </row>
    <row r="196" spans="1:7" x14ac:dyDescent="0.15">
      <c r="A196" t="str">
        <f>HYPERLINK("./new_k5/query_cmdrels_weight_analyze/0.8_0.1_0.1/au_85318.xlsx","au_85318")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0.4</v>
      </c>
    </row>
    <row r="197" spans="1:7" x14ac:dyDescent="0.15">
      <c r="A197" t="str">
        <f>HYPERLINK("./new_k5/query_cmdrels_weight_analyze/0.8_0.1_0.1/au_854332.xlsx","au_854332")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HYPERLINK("./new_k5/query_cmdrels_weight_analyze/0.8_0.1_0.1/au_854373.xlsx","au_854373")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HYPERLINK("./new_k5/query_cmdrels_weight_analyze/0.8_0.1_0.1/au_86843.xlsx","au_86843")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HYPERLINK("./new_k5/query_cmdrels_weight_analyze/0.8_0.1_0.1/au_88108.xlsx","au_88108")</f>
        <v>au_88108</v>
      </c>
      <c r="B200">
        <v>0</v>
      </c>
      <c r="C200">
        <v>0</v>
      </c>
      <c r="D200">
        <v>0.1</v>
      </c>
      <c r="E200">
        <v>0</v>
      </c>
      <c r="F200">
        <v>0.1</v>
      </c>
      <c r="G200">
        <v>0.05</v>
      </c>
    </row>
    <row r="201" spans="1:7" x14ac:dyDescent="0.15">
      <c r="A201" t="str">
        <f>HYPERLINK("./new_k5/query_cmdrels_weight_analyze/0.8_0.1_0.1/au_90214.xlsx","au_90214")</f>
        <v>au_90214</v>
      </c>
      <c r="B201">
        <v>0</v>
      </c>
      <c r="C201">
        <v>0</v>
      </c>
      <c r="D201">
        <v>0.16666666666666671</v>
      </c>
      <c r="E201">
        <v>0</v>
      </c>
      <c r="F201">
        <v>0.16666666666666671</v>
      </c>
      <c r="G201">
        <v>0.2166666666666667</v>
      </c>
    </row>
    <row r="202" spans="1:7" x14ac:dyDescent="0.15">
      <c r="A202" t="str">
        <f>HYPERLINK("./new_k5/query_cmdrels_weight_analyze/0.8_0.1_0.1/au_90339.xlsx","au_90339")</f>
        <v>au_90339</v>
      </c>
      <c r="B202">
        <v>0</v>
      </c>
      <c r="C202">
        <v>0</v>
      </c>
      <c r="D202">
        <v>4.7619047619047623E-2</v>
      </c>
      <c r="E202">
        <v>4.7619047619047623E-2</v>
      </c>
      <c r="F202">
        <v>0.2047619047619047</v>
      </c>
      <c r="G202">
        <v>0.119047619047619</v>
      </c>
    </row>
    <row r="203" spans="1:7" x14ac:dyDescent="0.15">
      <c r="A203" t="str">
        <f>HYPERLINK("./new_k5/query_cmdrels_weight_analyze/0.8_0.1_0.1/au_91286.xlsx","au_91286")</f>
        <v>au_91286</v>
      </c>
      <c r="B203">
        <v>0.5</v>
      </c>
      <c r="C203">
        <v>0</v>
      </c>
      <c r="D203">
        <v>0.5</v>
      </c>
      <c r="E203">
        <v>0.16666666666666671</v>
      </c>
      <c r="F203">
        <v>0.5</v>
      </c>
      <c r="G203">
        <v>0.16666666666666671</v>
      </c>
    </row>
    <row r="204" spans="1:7" x14ac:dyDescent="0.15">
      <c r="A204" t="str">
        <f>HYPERLINK("./new_k5/query_cmdrels_weight_analyze/0.8_0.1_0.1/au_9135.xlsx","au_9135")</f>
        <v>au_9135</v>
      </c>
      <c r="B204">
        <v>0.1</v>
      </c>
      <c r="C204">
        <v>0</v>
      </c>
      <c r="D204">
        <v>0.16666666666666671</v>
      </c>
      <c r="E204">
        <v>0.1166666666666667</v>
      </c>
      <c r="F204">
        <v>0.24166666666666661</v>
      </c>
      <c r="G204">
        <v>0.17666666666666669</v>
      </c>
    </row>
    <row r="205" spans="1:7" x14ac:dyDescent="0.15">
      <c r="A205" t="str">
        <f>HYPERLINK("./new_k5/query_cmdrels_weight_analyze/0.8_0.1_0.1/au_935569.xlsx","au_935569")</f>
        <v>au_935569</v>
      </c>
      <c r="B205">
        <v>0.14285714285714279</v>
      </c>
      <c r="C205">
        <v>0</v>
      </c>
      <c r="D205">
        <v>0.42857142857142849</v>
      </c>
      <c r="E205">
        <v>0.16666666666666671</v>
      </c>
      <c r="F205">
        <v>0.54285714285714282</v>
      </c>
      <c r="G205">
        <v>0.16666666666666671</v>
      </c>
    </row>
    <row r="206" spans="1:7" x14ac:dyDescent="0.15">
      <c r="A206" t="str">
        <f>HYPERLINK("./new_k5/query_cmdrels_weight_analyze/0.8_0.1_0.1/au_97936.xlsx","au_97936")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HYPERLINK("./new_k5/query_cmdrels_weight_analyze/0.8_0.1_0.1/so_10235778.xlsx","so_10235778")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HYPERLINK("./new_k5/query_cmdrels_weight_analyze/0.8_0.1_0.1/so_1045910.xlsx","so_1045910")</f>
        <v>so_1045910</v>
      </c>
      <c r="B208">
        <v>0.25</v>
      </c>
      <c r="C208">
        <v>0</v>
      </c>
      <c r="D208">
        <v>0.25</v>
      </c>
      <c r="E208">
        <v>0.29166666666666657</v>
      </c>
      <c r="F208">
        <v>0.25</v>
      </c>
      <c r="G208">
        <v>0.29166666666666657</v>
      </c>
    </row>
    <row r="209" spans="1:7" x14ac:dyDescent="0.15">
      <c r="A209" t="str">
        <f>HYPERLINK("./new_k5/query_cmdrels_weight_analyze/0.8_0.1_0.1/so_10557360.xlsx","so_10557360")</f>
        <v>so_10557360</v>
      </c>
      <c r="B209">
        <v>0</v>
      </c>
      <c r="C209">
        <v>0</v>
      </c>
      <c r="D209">
        <v>0</v>
      </c>
      <c r="E209">
        <v>6.6666666666666666E-2</v>
      </c>
      <c r="F209">
        <v>0</v>
      </c>
      <c r="G209">
        <v>6.6666666666666666E-2</v>
      </c>
    </row>
    <row r="210" spans="1:7" x14ac:dyDescent="0.15">
      <c r="A210" t="str">
        <f>HYPERLINK("./new_k5/query_cmdrels_weight_analyze/0.8_0.1_0.1/so_1058047.xlsx","so_1058047")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0.35</v>
      </c>
    </row>
    <row r="211" spans="1:7" x14ac:dyDescent="0.15">
      <c r="A211" t="str">
        <f>HYPERLINK("./new_k5/query_cmdrels_weight_analyze/0.8_0.1_0.1/so_10829402.xlsx","so_10829402")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HYPERLINK("./new_k5/query_cmdrels_weight_analyze/0.8_0.1_0.1/so_1088098.xlsx","so_1088098")</f>
        <v>so_1088098</v>
      </c>
      <c r="B212">
        <v>0</v>
      </c>
      <c r="C212">
        <v>0</v>
      </c>
      <c r="D212">
        <v>0.125</v>
      </c>
      <c r="E212">
        <v>0.125</v>
      </c>
      <c r="F212">
        <v>0.125</v>
      </c>
      <c r="G212">
        <v>0.125</v>
      </c>
    </row>
    <row r="213" spans="1:7" x14ac:dyDescent="0.15">
      <c r="A213" t="str">
        <f>HYPERLINK("./new_k5/query_cmdrels_weight_analyze/0.8_0.1_0.1/so_10990949.xlsx","so_10990949")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0.5</v>
      </c>
    </row>
    <row r="214" spans="1:7" x14ac:dyDescent="0.15">
      <c r="A214" t="str">
        <f>HYPERLINK("./new_k5/query_cmdrels_weight_analyze/0.8_0.1_0.1/so_11211705.xlsx","so_11211705")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HYPERLINK("./new_k5/query_cmdrels_weight_analyze/0.8_0.1_0.1/so_112932.xlsx","so_112932")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HYPERLINK("./new_k5/query_cmdrels_weight_analyze/0.8_0.1_0.1/so_11392189.xlsx","so_11392189")</f>
        <v>so_11392189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6.25E-2</v>
      </c>
    </row>
    <row r="217" spans="1:7" x14ac:dyDescent="0.15">
      <c r="A217" t="str">
        <f>HYPERLINK("./new_k5/query_cmdrels_weight_analyze/0.8_0.1_0.1/so_1183183.xlsx","so_1183183")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</v>
      </c>
    </row>
    <row r="218" spans="1:7" x14ac:dyDescent="0.15">
      <c r="A218" t="str">
        <f>HYPERLINK("./new_k5/query_cmdrels_weight_analyze/0.8_0.1_0.1/so_1194882.xlsx","so_1194882")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HYPERLINK("./new_k5/query_cmdrels_weight_analyze/0.8_0.1_0.1/so_12120935.xlsx","so_12120935")</f>
        <v>so_12120935</v>
      </c>
      <c r="B219">
        <v>0.25</v>
      </c>
      <c r="C219">
        <v>0.25</v>
      </c>
      <c r="D219">
        <v>0.41666666666666657</v>
      </c>
      <c r="E219">
        <v>0.75</v>
      </c>
      <c r="F219">
        <v>0.41666666666666657</v>
      </c>
      <c r="G219">
        <v>0.75</v>
      </c>
    </row>
    <row r="220" spans="1:7" x14ac:dyDescent="0.15">
      <c r="A220" t="str">
        <f>HYPERLINK("./new_k5/query_cmdrels_weight_analyze/0.8_0.1_0.1/so_12313384.xlsx","so_12313384")</f>
        <v>so_12313384</v>
      </c>
      <c r="B220">
        <v>0</v>
      </c>
      <c r="C220">
        <v>0.33333333333333331</v>
      </c>
      <c r="D220">
        <v>0.16666666666666671</v>
      </c>
      <c r="E220">
        <v>0.55555555555555547</v>
      </c>
      <c r="F220">
        <v>0.16666666666666671</v>
      </c>
      <c r="G220">
        <v>0.55555555555555547</v>
      </c>
    </row>
    <row r="221" spans="1:7" x14ac:dyDescent="0.15">
      <c r="A221" t="str">
        <f>HYPERLINK("./new_k5/query_cmdrels_weight_analyze/0.8_0.1_0.1/so_12392598.xlsx","so_12392598")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HYPERLINK("./new_k5/query_cmdrels_weight_analyze/0.8_0.1_0.1/so_1241801.xlsx","so_1241801")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HYPERLINK("./new_k5/query_cmdrels_weight_analyze/0.8_0.1_0.1/so_12522269.xlsx","so_12522269")</f>
        <v>so_12522269</v>
      </c>
      <c r="B223">
        <v>0.2</v>
      </c>
      <c r="C223">
        <v>0</v>
      </c>
      <c r="D223">
        <v>0.2</v>
      </c>
      <c r="E223">
        <v>0.1</v>
      </c>
      <c r="F223">
        <v>0.28000000000000003</v>
      </c>
      <c r="G223">
        <v>0.1</v>
      </c>
    </row>
    <row r="224" spans="1:7" x14ac:dyDescent="0.15">
      <c r="A224" t="str">
        <f>HYPERLINK("./new_k5/query_cmdrels_weight_analyze/0.8_0.1_0.1/so_1293907.xlsx","so_1293907")</f>
        <v>so_1293907</v>
      </c>
      <c r="B224">
        <v>0</v>
      </c>
      <c r="C224">
        <v>0.33333333333333331</v>
      </c>
      <c r="D224">
        <v>0</v>
      </c>
      <c r="E224">
        <v>0.66666666666666663</v>
      </c>
      <c r="F224">
        <v>8.3333333333333329E-2</v>
      </c>
      <c r="G224">
        <v>0.91666666666666663</v>
      </c>
    </row>
    <row r="225" spans="1:7" x14ac:dyDescent="0.15">
      <c r="A225" t="str">
        <f>HYPERLINK("./new_k5/query_cmdrels_weight_analyze/0.8_0.1_0.1/so_13428910.xlsx","so_13428910")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HYPERLINK("./new_k5/query_cmdrels_weight_analyze/0.8_0.1_0.1/so_135688.xlsx","so_135688")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HYPERLINK("./new_k5/query_cmdrels_weight_analyze/0.8_0.1_0.1/so_13778273.xlsx","so_13778273")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HYPERLINK("./new_k5/query_cmdrels_weight_analyze/0.8_0.1_0.1/so_1405611.xlsx","so_1405611")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0.1111111111111111</v>
      </c>
      <c r="F228">
        <v>0.33333333333333331</v>
      </c>
      <c r="G228">
        <v>0.1111111111111111</v>
      </c>
    </row>
    <row r="229" spans="1:7" x14ac:dyDescent="0.15">
      <c r="A229" t="str">
        <f>HYPERLINK("./new_k5/query_cmdrels_weight_analyze/0.8_0.1_0.1/so_14300794.xlsx","so_14300794")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HYPERLINK("./new_k5/query_cmdrels_weight_analyze/0.8_0.1_0.1/so_143791.xlsx","so_143791")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HYPERLINK("./new_k5/query_cmdrels_weight_analyze/0.8_0.1_0.1/so_14750650.xlsx","so_14750650")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0.05</v>
      </c>
    </row>
    <row r="232" spans="1:7" x14ac:dyDescent="0.15">
      <c r="A232" t="str">
        <f>HYPERLINK("./new_k5/query_cmdrels_weight_analyze/0.8_0.1_0.1/so_14978411.xlsx","so_14978411")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HYPERLINK("./new_k5/query_cmdrels_weight_analyze/0.8_0.1_0.1/so_15236308.xlsx","so_15236308")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HYPERLINK("./new_k5/query_cmdrels_weight_analyze/0.8_0.1_0.1/so_15286947.xlsx","so_15286947")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HYPERLINK("./new_k5/query_cmdrels_weight_analyze/0.8_0.1_0.1/so_15402770.xlsx","so_15402770")</f>
        <v>so_15402770</v>
      </c>
      <c r="B235">
        <v>0</v>
      </c>
      <c r="C235">
        <v>0</v>
      </c>
      <c r="D235">
        <v>0.19444444444444439</v>
      </c>
      <c r="E235">
        <v>0.19444444444444439</v>
      </c>
      <c r="F235">
        <v>0.19444444444444439</v>
      </c>
      <c r="G235">
        <v>0.31944444444444442</v>
      </c>
    </row>
    <row r="236" spans="1:7" x14ac:dyDescent="0.15">
      <c r="A236" t="str">
        <f>HYPERLINK("./new_k5/query_cmdrels_weight_analyze/0.8_0.1_0.1/so_1570262.xlsx","so_1570262")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0.13</v>
      </c>
    </row>
    <row r="237" spans="1:7" x14ac:dyDescent="0.15">
      <c r="A237" t="str">
        <f>HYPERLINK("./new_k5/query_cmdrels_weight_analyze/0.8_0.1_0.1/so_1583219.xlsx","so_1583219")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HYPERLINK("./new_k5/query_cmdrels_weight_analyze/0.8_0.1_0.1/so_15872543.xlsx","so_15872543")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HYPERLINK("./new_k5/query_cmdrels_weight_analyze/0.8_0.1_0.1/so_16038087.xlsx","so_16038087")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0.42857142857142849</v>
      </c>
      <c r="F239">
        <v>0.2857142857142857</v>
      </c>
      <c r="G239">
        <v>0.5714285714285714</v>
      </c>
    </row>
    <row r="240" spans="1:7" x14ac:dyDescent="0.15">
      <c r="A240" t="str">
        <f>HYPERLINK("./new_k5/query_cmdrels_weight_analyze/0.8_0.1_0.1/so_16212656.xlsx","so_16212656")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HYPERLINK("./new_k5/query_cmdrels_weight_analyze/0.8_0.1_0.1/so_16575419.xlsx","so_16575419")</f>
        <v>so_16575419</v>
      </c>
      <c r="B241">
        <v>0.25</v>
      </c>
      <c r="C241">
        <v>0.25</v>
      </c>
      <c r="D241">
        <v>0.25</v>
      </c>
      <c r="E241">
        <v>0.75</v>
      </c>
      <c r="F241">
        <v>0.25</v>
      </c>
      <c r="G241">
        <v>0.75</v>
      </c>
    </row>
    <row r="242" spans="1:7" x14ac:dyDescent="0.15">
      <c r="A242" t="str">
        <f>HYPERLINK("./new_k5/query_cmdrels_weight_analyze/0.8_0.1_0.1/so_17582768.xlsx","so_17582768")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8.3333333333333329E-2</v>
      </c>
    </row>
    <row r="243" spans="1:7" x14ac:dyDescent="0.15">
      <c r="A243" t="str">
        <f>HYPERLINK("./new_k5/query_cmdrels_weight_analyze/0.8_0.1_0.1/so_17607612.xlsx","so_17607612")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HYPERLINK("./new_k5/query_cmdrels_weight_analyze/0.8_0.1_0.1/so_17829785.xlsx","so_17829785")</f>
        <v>so_17829785</v>
      </c>
      <c r="B244">
        <v>0.25</v>
      </c>
      <c r="C244">
        <v>0</v>
      </c>
      <c r="D244">
        <v>0.25</v>
      </c>
      <c r="E244">
        <v>0.29166666666666657</v>
      </c>
      <c r="F244">
        <v>0.25</v>
      </c>
      <c r="G244">
        <v>0.29166666666666657</v>
      </c>
    </row>
    <row r="245" spans="1:7" x14ac:dyDescent="0.15">
      <c r="A245" t="str">
        <f>HYPERLINK("./new_k5/query_cmdrels_weight_analyze/0.8_0.1_0.1/so_1839841.xlsx","so_1839841")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HYPERLINK("./new_k5/query_cmdrels_weight_analyze/0.8_0.1_0.1/so_18468716.xlsx","so_18468716")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0.46666666666666662</v>
      </c>
    </row>
    <row r="247" spans="1:7" x14ac:dyDescent="0.15">
      <c r="A247" t="str">
        <f>HYPERLINK("./new_k5/query_cmdrels_weight_analyze/0.8_0.1_0.1/so_19196105.xlsx","so_19196105")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0.19166666666666671</v>
      </c>
    </row>
    <row r="248" spans="1:7" x14ac:dyDescent="0.15">
      <c r="A248" t="str">
        <f>HYPERLINK("./new_k5/query_cmdrels_weight_analyze/0.8_0.1_0.1/so_19482123.xlsx","so_19482123")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HYPERLINK("./new_k5/query_cmdrels_weight_analyze/0.8_0.1_0.1/so_1975849.xlsx","so_1975849")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HYPERLINK("./new_k5/query_cmdrels_weight_analyze/0.8_0.1_0.1/so_212528.xlsx","so_212528")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0.43333333333333329</v>
      </c>
    </row>
    <row r="251" spans="1:7" x14ac:dyDescent="0.15">
      <c r="A251" t="str">
        <f>HYPERLINK("./new_k5/query_cmdrels_weight_analyze/0.8_0.1_0.1/so_21620406.xlsx","so_21620406")</f>
        <v>so_21620406</v>
      </c>
      <c r="B251">
        <v>0</v>
      </c>
      <c r="C251">
        <v>0</v>
      </c>
      <c r="D251">
        <v>0.1111111111111111</v>
      </c>
      <c r="E251">
        <v>0</v>
      </c>
      <c r="F251">
        <v>0.1111111111111111</v>
      </c>
      <c r="G251">
        <v>8.3333333333333329E-2</v>
      </c>
    </row>
    <row r="252" spans="1:7" x14ac:dyDescent="0.15">
      <c r="A252" t="str">
        <f>HYPERLINK("./new_k5/query_cmdrels_weight_analyze/0.8_0.1_0.1/so_23509348.xlsx","so_23509348")</f>
        <v>so_23509348</v>
      </c>
      <c r="B252">
        <v>0</v>
      </c>
      <c r="C252">
        <v>0</v>
      </c>
      <c r="D252">
        <v>0</v>
      </c>
      <c r="E252">
        <v>0.125</v>
      </c>
      <c r="F252">
        <v>0</v>
      </c>
      <c r="G252">
        <v>0.4</v>
      </c>
    </row>
    <row r="253" spans="1:7" x14ac:dyDescent="0.15">
      <c r="A253" t="str">
        <f>HYPERLINK("./new_k5/query_cmdrels_weight_analyze/0.8_0.1_0.1/so_24058544.xlsx","so_24058544")</f>
        <v>so_24058544</v>
      </c>
      <c r="B253">
        <v>0.2</v>
      </c>
      <c r="C253">
        <v>0.2</v>
      </c>
      <c r="D253">
        <v>0.2</v>
      </c>
      <c r="E253">
        <v>0.33333333333333331</v>
      </c>
      <c r="F253">
        <v>0.2</v>
      </c>
      <c r="G253">
        <v>0.33333333333333331</v>
      </c>
    </row>
    <row r="254" spans="1:7" x14ac:dyDescent="0.15">
      <c r="A254" t="str">
        <f>HYPERLINK("./new_k5/query_cmdrels_weight_analyze/0.8_0.1_0.1/so_24283097.xlsx","so_24283097")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HYPERLINK("./new_k5/query_cmdrels_weight_analyze/0.8_0.1_0.1/so_26256279.xlsx","so_26256279")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HYPERLINK("./new_k5/query_cmdrels_weight_analyze/0.8_0.1_0.1/so_26331651.xlsx","so_26331651")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0.34523809523809518</v>
      </c>
    </row>
    <row r="257" spans="1:7" x14ac:dyDescent="0.15">
      <c r="A257" t="str">
        <f>HYPERLINK("./new_k5/query_cmdrels_weight_analyze/0.8_0.1_0.1/so_26988262.xlsx","so_26988262")</f>
        <v>so_26988262</v>
      </c>
      <c r="B257">
        <v>0</v>
      </c>
      <c r="C257">
        <v>0</v>
      </c>
      <c r="D257">
        <v>0.16666666666666671</v>
      </c>
      <c r="E257">
        <v>0.16666666666666671</v>
      </c>
      <c r="F257">
        <v>0.33333333333333331</v>
      </c>
      <c r="G257">
        <v>0.16666666666666671</v>
      </c>
    </row>
    <row r="258" spans="1:7" x14ac:dyDescent="0.15">
      <c r="A258" t="str">
        <f>HYPERLINK("./new_k5/query_cmdrels_weight_analyze/0.8_0.1_0.1/so_27238411.xlsx","so_27238411")</f>
        <v>so_27238411</v>
      </c>
      <c r="B258">
        <v>0.2</v>
      </c>
      <c r="C258">
        <v>0.2</v>
      </c>
      <c r="D258">
        <v>0.6</v>
      </c>
      <c r="E258">
        <v>0.6</v>
      </c>
      <c r="F258">
        <v>0.6</v>
      </c>
      <c r="G258">
        <v>0.6</v>
      </c>
    </row>
    <row r="259" spans="1:7" x14ac:dyDescent="0.15">
      <c r="A259" t="str">
        <f>HYPERLINK("./new_k5/query_cmdrels_weight_analyze/0.8_0.1_0.1/so_27943059.xlsx","so_27943059")</f>
        <v>so_27943059</v>
      </c>
      <c r="B259">
        <v>0</v>
      </c>
      <c r="C259">
        <v>0</v>
      </c>
      <c r="D259">
        <v>0.16666666666666671</v>
      </c>
      <c r="E259">
        <v>0.16666666666666671</v>
      </c>
      <c r="F259">
        <v>0.16666666666666671</v>
      </c>
      <c r="G259">
        <v>0.3</v>
      </c>
    </row>
    <row r="260" spans="1:7" x14ac:dyDescent="0.15">
      <c r="A260" t="str">
        <f>HYPERLINK("./new_k5/query_cmdrels_weight_analyze/0.8_0.1_0.1/so_28869004.xlsx","so_28869004")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0.46666666666666662</v>
      </c>
    </row>
    <row r="261" spans="1:7" x14ac:dyDescent="0.15">
      <c r="A261" t="str">
        <f>HYPERLINK("./new_k5/query_cmdrels_weight_analyze/0.8_0.1_0.1/so_2973624.xlsx","so_2973624")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1</v>
      </c>
      <c r="F261">
        <v>0.66666666666666663</v>
      </c>
      <c r="G261">
        <v>1</v>
      </c>
    </row>
    <row r="262" spans="1:7" x14ac:dyDescent="0.15">
      <c r="A262" t="str">
        <f>HYPERLINK("./new_k5/query_cmdrels_weight_analyze/0.8_0.1_0.1/so_30177455.xlsx","so_30177455")</f>
        <v>so_30177455</v>
      </c>
      <c r="B262">
        <v>0</v>
      </c>
      <c r="C262">
        <v>0</v>
      </c>
      <c r="D262">
        <v>0.16666666666666671</v>
      </c>
      <c r="E262">
        <v>0</v>
      </c>
      <c r="F262">
        <v>0.16666666666666671</v>
      </c>
      <c r="G262">
        <v>8.3333333333333329E-2</v>
      </c>
    </row>
    <row r="263" spans="1:7" x14ac:dyDescent="0.15">
      <c r="A263" t="str">
        <f>HYPERLINK("./new_k5/query_cmdrels_weight_analyze/0.8_0.1_0.1/so_30251889.xlsx","so_30251889")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0.6791666666666667</v>
      </c>
    </row>
    <row r="264" spans="1:7" x14ac:dyDescent="0.15">
      <c r="A264" t="str">
        <f>HYPERLINK("./new_k5/query_cmdrels_weight_analyze/0.8_0.1_0.1/so_305035.xlsx","so_305035")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HYPERLINK("./new_k5/query_cmdrels_weight_analyze/0.8_0.1_0.1/so_36249744.xlsx","so_36249744")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HYPERLINK("./new_k5/query_cmdrels_weight_analyze/0.8_0.1_0.1/so_3643848.xlsx","so_3643848")</f>
        <v>so_3643848</v>
      </c>
      <c r="B266">
        <v>0.5</v>
      </c>
      <c r="C266">
        <v>0.5</v>
      </c>
      <c r="D266">
        <v>1</v>
      </c>
      <c r="E266">
        <v>0.5</v>
      </c>
      <c r="F266">
        <v>1</v>
      </c>
      <c r="G266">
        <v>0.75</v>
      </c>
    </row>
    <row r="267" spans="1:7" x14ac:dyDescent="0.15">
      <c r="A267" t="str">
        <f>HYPERLINK("./new_k5/query_cmdrels_weight_analyze/0.8_0.1_0.1/so_3667329.xlsx","so_3667329")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HYPERLINK("./new_k5/query_cmdrels_weight_analyze/0.8_0.1_0.1/so_369758.xlsx","so_369758")</f>
        <v>so_369758</v>
      </c>
      <c r="B268">
        <v>0.2</v>
      </c>
      <c r="C268">
        <v>0.2</v>
      </c>
      <c r="D268">
        <v>0.4</v>
      </c>
      <c r="E268">
        <v>0.33333333333333331</v>
      </c>
      <c r="F268">
        <v>0.4</v>
      </c>
      <c r="G268">
        <v>0.48333333333333328</v>
      </c>
    </row>
    <row r="269" spans="1:7" x14ac:dyDescent="0.15">
      <c r="A269" t="str">
        <f>HYPERLINK("./new_k5/query_cmdrels_weight_analyze/0.8_0.1_0.1/so_3756323.xlsx","so_3756323")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0.75</v>
      </c>
    </row>
    <row r="270" spans="1:7" x14ac:dyDescent="0.15">
      <c r="A270" t="str">
        <f>HYPERLINK("./new_k5/query_cmdrels_weight_analyze/0.8_0.1_0.1/so_3767267.xlsx","so_3767267")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0.1</v>
      </c>
    </row>
    <row r="271" spans="1:7" x14ac:dyDescent="0.15">
      <c r="A271" t="str">
        <f>HYPERLINK("./new_k5/query_cmdrels_weight_analyze/0.8_0.1_0.1/so_3833578.xlsx","so_3833578")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HYPERLINK("./new_k5/query_cmdrels_weight_analyze/0.8_0.1_0.1/so_3891076.xlsx","so_3891076")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0.52500000000000002</v>
      </c>
    </row>
    <row r="273" spans="1:7" x14ac:dyDescent="0.15">
      <c r="A273" t="str">
        <f>HYPERLINK("./new_k5/query_cmdrels_weight_analyze/0.8_0.1_0.1/so_3963085.xlsx","so_3963085")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HYPERLINK("./new_k5/query_cmdrels_weight_analyze/0.8_0.1_0.1/so_4325216.xlsx","so_4325216")</f>
        <v>so_4325216</v>
      </c>
      <c r="B274">
        <v>0.5</v>
      </c>
      <c r="C274">
        <v>0.5</v>
      </c>
      <c r="D274">
        <v>0.5</v>
      </c>
      <c r="E274">
        <v>0.83333333333333326</v>
      </c>
      <c r="F274">
        <v>0.5</v>
      </c>
      <c r="G274">
        <v>0.83333333333333326</v>
      </c>
    </row>
    <row r="275" spans="1:7" x14ac:dyDescent="0.15">
      <c r="A275" t="str">
        <f>HYPERLINK("./new_k5/query_cmdrels_weight_analyze/0.8_0.1_0.1/so_448005.xlsx","so_448005")</f>
        <v>so_448005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</row>
    <row r="276" spans="1:7" x14ac:dyDescent="0.15">
      <c r="A276" t="str">
        <f>HYPERLINK("./new_k5/query_cmdrels_weight_analyze/0.8_0.1_0.1/so_4921879.xlsx","so_4921879")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HYPERLINK("./new_k5/query_cmdrels_weight_analyze/0.8_0.1_0.1/so_4922943.xlsx","so_4922943")</f>
        <v>so_4922943</v>
      </c>
      <c r="B277">
        <v>0.2</v>
      </c>
      <c r="C277">
        <v>0.2</v>
      </c>
      <c r="D277">
        <v>0.33333333333333331</v>
      </c>
      <c r="E277">
        <v>0.2</v>
      </c>
      <c r="F277">
        <v>0.33333333333333331</v>
      </c>
      <c r="G277">
        <v>0.3</v>
      </c>
    </row>
    <row r="278" spans="1:7" x14ac:dyDescent="0.15">
      <c r="A278" t="str">
        <f>HYPERLINK("./new_k5/query_cmdrels_weight_analyze/0.8_0.1_0.1/so_5119946.xlsx","so_5119946")</f>
        <v>so_5119946</v>
      </c>
      <c r="B278">
        <v>0.5</v>
      </c>
      <c r="C278">
        <v>0</v>
      </c>
      <c r="D278">
        <v>0.5</v>
      </c>
      <c r="E278">
        <v>0.16666666666666671</v>
      </c>
      <c r="F278">
        <v>0.5</v>
      </c>
      <c r="G278">
        <v>0.41666666666666657</v>
      </c>
    </row>
    <row r="279" spans="1:7" x14ac:dyDescent="0.15">
      <c r="A279" t="str">
        <f>HYPERLINK("./new_k5/query_cmdrels_weight_analyze/0.8_0.1_0.1/so_5164985.xlsx","so_5164985")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HYPERLINK("./new_k5/query_cmdrels_weight_analyze/0.8_0.1_0.1/so_5306153.xlsx","so_5306153")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15">
      <c r="A281" t="str">
        <f>HYPERLINK("./new_k5/query_cmdrels_weight_analyze/0.8_0.1_0.1/so_5566310.xlsx","so_5566310")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HYPERLINK("./new_k5/query_cmdrels_weight_analyze/0.8_0.1_0.1/so_5927369.xlsx","so_5927369")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HYPERLINK("./new_k5/query_cmdrels_weight_analyze/0.8_0.1_0.1/so_5947742.xlsx","so_5947742")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HYPERLINK("./new_k5/query_cmdrels_weight_analyze/0.8_0.1_0.1/so_614795.xlsx","so_614795")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HYPERLINK("./new_k5/query_cmdrels_weight_analyze/0.8_0.1_0.1/so_6207573.xlsx","so_6207573")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0.42857142857142849</v>
      </c>
      <c r="F285">
        <v>0.37142857142857139</v>
      </c>
      <c r="G285">
        <v>0.42857142857142849</v>
      </c>
    </row>
    <row r="286" spans="1:7" x14ac:dyDescent="0.15">
      <c r="A286" t="str">
        <f>HYPERLINK("./new_k5/query_cmdrels_weight_analyze/0.8_0.1_0.1/so_6283167.xlsx","so_6283167")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HYPERLINK("./new_k5/query_cmdrels_weight_analyze/0.8_0.1_0.1/so_6329505.xlsx","so_6329505")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HYPERLINK("./new_k5/query_cmdrels_weight_analyze/0.8_0.1_0.1/so_6423532.xlsx","so_6423532")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HYPERLINK("./new_k5/query_cmdrels_weight_analyze/0.8_0.1_0.1/so_669438.xlsx","so_669438")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0.33333333333333331</v>
      </c>
    </row>
    <row r="290" spans="1:7" x14ac:dyDescent="0.15">
      <c r="A290" t="str">
        <f>HYPERLINK("./new_k5/query_cmdrels_weight_analyze/0.8_0.1_0.1/so_7052875.xlsx","so_7052875")</f>
        <v>so_7052875</v>
      </c>
      <c r="B290">
        <v>0.2</v>
      </c>
      <c r="C290">
        <v>0</v>
      </c>
      <c r="D290">
        <v>0.2</v>
      </c>
      <c r="E290">
        <v>6.6666666666666666E-2</v>
      </c>
      <c r="F290">
        <v>0.2</v>
      </c>
      <c r="G290">
        <v>0.1466666666666667</v>
      </c>
    </row>
    <row r="291" spans="1:7" x14ac:dyDescent="0.15">
      <c r="A291" t="str">
        <f>HYPERLINK("./new_k5/query_cmdrels_weight_analyze/0.8_0.1_0.1/so_7221757.xlsx","so_7221757")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HYPERLINK("./new_k5/query_cmdrels_weight_analyze/0.8_0.1_0.1/so_750604.xlsx","so_750604")</f>
        <v>so_750604</v>
      </c>
      <c r="B292">
        <v>0</v>
      </c>
      <c r="C292">
        <v>0</v>
      </c>
      <c r="D292">
        <v>0.1111111111111111</v>
      </c>
      <c r="E292">
        <v>0.1111111111111111</v>
      </c>
      <c r="F292">
        <v>0.1111111111111111</v>
      </c>
      <c r="G292">
        <v>0.27777777777777768</v>
      </c>
    </row>
    <row r="293" spans="1:7" x14ac:dyDescent="0.15">
      <c r="A293" t="str">
        <f>HYPERLINK("./new_k5/query_cmdrels_weight_analyze/0.8_0.1_0.1/so_7575267.xlsx","so_7575267")</f>
        <v>so_7575267</v>
      </c>
      <c r="B293">
        <v>0</v>
      </c>
      <c r="C293">
        <v>0.25</v>
      </c>
      <c r="D293">
        <v>0</v>
      </c>
      <c r="E293">
        <v>0.5</v>
      </c>
      <c r="F293">
        <v>0</v>
      </c>
      <c r="G293">
        <v>0.6875</v>
      </c>
    </row>
    <row r="294" spans="1:7" x14ac:dyDescent="0.15">
      <c r="A294" t="str">
        <f>HYPERLINK("./new_k5/query_cmdrels_weight_analyze/0.8_0.1_0.1/so_7698488.xlsx","so_7698488")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0.16250000000000001</v>
      </c>
    </row>
    <row r="295" spans="1:7" x14ac:dyDescent="0.15">
      <c r="A295" t="str">
        <f>HYPERLINK("./new_k5/query_cmdrels_weight_analyze/0.8_0.1_0.1/so_801095.xlsx","so_801095")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0.33333333333333331</v>
      </c>
      <c r="F295">
        <v>0.33333333333333331</v>
      </c>
      <c r="G295">
        <v>0.5</v>
      </c>
    </row>
    <row r="296" spans="1:7" x14ac:dyDescent="0.15">
      <c r="A296" t="str">
        <f>HYPERLINK("./new_k5/query_cmdrels_weight_analyze/0.8_0.1_0.1/so_8249705.xlsx","so_8249705")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HYPERLINK("./new_k5/query_cmdrels_weight_analyze/0.8_0.1_0.1/so_8423541.xlsx","so_8423541")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HYPERLINK("./new_k5/query_cmdrels_weight_analyze/0.8_0.1_0.1/so_8654051.xlsx","so_8654051")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HYPERLINK("./new_k5/query_cmdrels_weight_analyze/0.8_0.1_0.1/so_890262.xlsx","so_890262")</f>
        <v>so_890262</v>
      </c>
      <c r="B299">
        <v>0</v>
      </c>
      <c r="C299">
        <v>0</v>
      </c>
      <c r="D299">
        <v>0</v>
      </c>
      <c r="E299">
        <v>0.16666666666666671</v>
      </c>
      <c r="F299">
        <v>0</v>
      </c>
      <c r="G299">
        <v>0.33333333333333331</v>
      </c>
    </row>
    <row r="300" spans="1:7" x14ac:dyDescent="0.15">
      <c r="A300" t="str">
        <f>HYPERLINK("./new_k5/query_cmdrels_weight_analyze/0.8_0.1_0.1/so_893585.xlsx","so_893585")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HYPERLINK("./new_k5/query_cmdrels_weight_analyze/0.8_0.1_0.1/so_9223460.xlsx","so_9223460")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HYPERLINK("./new_k5/query_cmdrels_weight_analyze/0.8_0.1_0.1/so_9245638.xlsx","so_9245638")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HYPERLINK("./new_k5/query_cmdrels_weight_analyze/0.8_0.1_0.1/so_9304953.xlsx","so_9304953")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HYPERLINK("./new_k5/query_cmdrels_weight_analyze/0.8_0.1_0.1/so_9361816.xlsx","so_9361816")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HYPERLINK("./new_k5/query_cmdrels_weight_analyze/0.8_0.1_0.1/su_116617.xlsx","su_116617")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HYPERLINK("./new_k5/query_cmdrels_weight_analyze/0.8_0.1_0.1/su_120045.xlsx","su_120045")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HYPERLINK("./new_k5/query_cmdrels_weight_analyze/0.8_0.1_0.1/su_127863.xlsx","su_127863")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HYPERLINK("./new_k5/query_cmdrels_weight_analyze/0.8_0.1_0.1/su_135498.xlsx","su_135498")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HYPERLINK("./new_k5/query_cmdrels_weight_analyze/0.8_0.1_0.1/su_147027.xlsx","su_147027")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HYPERLINK("./new_k5/query_cmdrels_weight_analyze/0.8_0.1_0.1/su_151911.xlsx","su_151911")</f>
        <v>su_151911</v>
      </c>
      <c r="B310">
        <v>0</v>
      </c>
      <c r="C310">
        <v>0</v>
      </c>
      <c r="D310">
        <v>0</v>
      </c>
      <c r="E310">
        <v>8.3333333333333329E-2</v>
      </c>
      <c r="F310">
        <v>0</v>
      </c>
      <c r="G310">
        <v>8.3333333333333329E-2</v>
      </c>
    </row>
    <row r="311" spans="1:7" x14ac:dyDescent="0.15">
      <c r="A311" t="str">
        <f>HYPERLINK("./new_k5/query_cmdrels_weight_analyze/0.8_0.1_0.1/su_153415.xlsx","su_153415")</f>
        <v>su_153415</v>
      </c>
      <c r="B311">
        <v>0.5</v>
      </c>
      <c r="C311">
        <v>0</v>
      </c>
      <c r="D311">
        <v>0.5</v>
      </c>
      <c r="E311">
        <v>0.25</v>
      </c>
      <c r="F311">
        <v>0.5</v>
      </c>
      <c r="G311">
        <v>0.25</v>
      </c>
    </row>
    <row r="312" spans="1:7" x14ac:dyDescent="0.15">
      <c r="A312" t="str">
        <f>HYPERLINK("./new_k5/query_cmdrels_weight_analyze/0.8_0.1_0.1/su_156189.xlsx","su_156189")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0.27777777777777768</v>
      </c>
    </row>
    <row r="313" spans="1:7" x14ac:dyDescent="0.15">
      <c r="A313" t="str">
        <f>HYPERLINK("./new_k5/query_cmdrels_weight_analyze/0.8_0.1_0.1/su_161531.xlsx","su_161531")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HYPERLINK("./new_k5/query_cmdrels_weight_analyze/0.8_0.1_0.1/su_204209.xlsx","su_204209")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HYPERLINK("./new_k5/query_cmdrels_weight_analyze/0.8_0.1_0.1/su_214390.xlsx","su_214390")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HYPERLINK("./new_k5/query_cmdrels_weight_analyze/0.8_0.1_0.1/su_215483.xlsx","su_215483")</f>
        <v>su_215483</v>
      </c>
      <c r="B316">
        <v>0.5</v>
      </c>
      <c r="C316">
        <v>0.5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HYPERLINK("./new_k5/query_cmdrels_weight_analyze/0.8_0.1_0.1/su_215504.xlsx","su_215504")</f>
        <v>su_215504</v>
      </c>
      <c r="B317">
        <v>0</v>
      </c>
      <c r="C317">
        <v>0.25</v>
      </c>
      <c r="D317">
        <v>0.29166666666666657</v>
      </c>
      <c r="E317">
        <v>0.5</v>
      </c>
      <c r="F317">
        <v>0.44166666666666671</v>
      </c>
      <c r="G317">
        <v>0.6875</v>
      </c>
    </row>
    <row r="318" spans="1:7" x14ac:dyDescent="0.15">
      <c r="A318" t="str">
        <f>HYPERLINK("./new_k5/query_cmdrels_weight_analyze/0.8_0.1_0.1/su_227385.xlsx","su_227385")</f>
        <v>su_227385</v>
      </c>
      <c r="B318">
        <v>0</v>
      </c>
      <c r="C318">
        <v>0</v>
      </c>
      <c r="D318">
        <v>0</v>
      </c>
      <c r="E318">
        <v>0.29166666666666657</v>
      </c>
      <c r="F318">
        <v>0</v>
      </c>
      <c r="G318">
        <v>0.6791666666666667</v>
      </c>
    </row>
    <row r="319" spans="1:7" x14ac:dyDescent="0.15">
      <c r="A319" t="str">
        <f>HYPERLINK("./new_k5/query_cmdrels_weight_analyze/0.8_0.1_0.1/su_273254.xlsx","su_273254")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HYPERLINK("./new_k5/query_cmdrels_weight_analyze/0.8_0.1_0.1/su_294161.xlsx","su_294161")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HYPERLINK("./new_k5/query_cmdrels_weight_analyze/0.8_0.1_0.1/su_302396.xlsx","su_302396")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HYPERLINK("./new_k5/query_cmdrels_weight_analyze/0.8_0.1_0.1/su_303981.xlsx","su_303981")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HYPERLINK("./new_k5/query_cmdrels_weight_analyze/0.8_0.1_0.1/su_305128.xlsx","su_305128")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HYPERLINK("./new_k5/query_cmdrels_weight_analyze/0.8_0.1_0.1/su_31512.xlsx","su_31512")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HYPERLINK("./new_k5/query_cmdrels_weight_analyze/0.8_0.1_0.1/su_380520.xlsx","su_380520")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0.1111111111111111</v>
      </c>
      <c r="F325">
        <v>0.33333333333333331</v>
      </c>
      <c r="G325">
        <v>0.27777777777777768</v>
      </c>
    </row>
    <row r="326" spans="1:7" x14ac:dyDescent="0.15">
      <c r="A326" t="str">
        <f>HYPERLINK("./new_k5/query_cmdrels_weight_analyze/0.8_0.1_0.1/su_38981.xlsx","su_38981")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HYPERLINK("./new_k5/query_cmdrels_weight_analyze/0.8_0.1_0.1/su_437330.xlsx","su_437330")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HYPERLINK("./new_k5/query_cmdrels_weight_analyze/0.8_0.1_0.1/su_441379.xlsx","su_441379")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HYPERLINK("./new_k5/query_cmdrels_weight_analyze/0.8_0.1_0.1/su_462788.xlsx","su_462788")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0.22222222222222221</v>
      </c>
      <c r="F329">
        <v>0.30555555555555558</v>
      </c>
      <c r="G329">
        <v>0.39444444444444438</v>
      </c>
    </row>
    <row r="330" spans="1:7" x14ac:dyDescent="0.15">
      <c r="A330" t="str">
        <f>HYPERLINK("./new_k5/query_cmdrels_weight_analyze/0.8_0.1_0.1/su_626606.xlsx","su_626606")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0.83333333333333337</v>
      </c>
    </row>
    <row r="331" spans="1:7" x14ac:dyDescent="0.15">
      <c r="A331" t="str">
        <f>HYPERLINK("./new_k5/query_cmdrels_weight_analyze/0.8_0.1_0.1/su_634469.xlsx","su_634469")</f>
        <v>su_634469</v>
      </c>
      <c r="B331">
        <v>0</v>
      </c>
      <c r="C331">
        <v>0.16666666666666671</v>
      </c>
      <c r="D331">
        <v>0</v>
      </c>
      <c r="E331">
        <v>0.33333333333333331</v>
      </c>
      <c r="F331">
        <v>0</v>
      </c>
      <c r="G331">
        <v>0.45833333333333331</v>
      </c>
    </row>
    <row r="332" spans="1:7" x14ac:dyDescent="0.15">
      <c r="A332" t="str">
        <f>HYPERLINK("./new_k5/query_cmdrels_weight_analyze/0.8_0.1_0.1/su_638616.xlsx","su_638616")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HYPERLINK("./new_k5/query_cmdrels_weight_analyze/0.8_0.1_0.1/su_678113.xlsx","su_678113")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HYPERLINK("./new_k5/query_cmdrels_weight_analyze/0.8_0.1_0.1/su_686394.xlsx","su_686394")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HYPERLINK("./new_k5/query_cmdrels_weight_analyze/0.8_0.1_0.1/su_716795.xlsx","su_716795")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0.125</v>
      </c>
    </row>
    <row r="336" spans="1:7" x14ac:dyDescent="0.15">
      <c r="A336" t="str">
        <f>HYPERLINK("./new_k5/query_cmdrels_weight_analyze/0.8_0.1_0.1/su_758463.xlsx","su_758463")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HYPERLINK("./new_k5/query_cmdrels_weight_analyze/0.8_0.1_0.1/su_766437.xlsx","su_766437")</f>
        <v>su_766437</v>
      </c>
      <c r="B337">
        <v>0</v>
      </c>
      <c r="C337">
        <v>0</v>
      </c>
      <c r="D337">
        <v>0</v>
      </c>
      <c r="E337">
        <v>0.23333333333333331</v>
      </c>
      <c r="F337">
        <v>0.05</v>
      </c>
      <c r="G337">
        <v>0.35333333333333328</v>
      </c>
    </row>
    <row r="338" spans="1:7" x14ac:dyDescent="0.15">
      <c r="A338" t="str">
        <f>HYPERLINK("./new_k5/query_cmdrels_weight_analyze/0.8_0.1_0.1/su_904001.xlsx","su_904001")</f>
        <v>su_904001</v>
      </c>
      <c r="B338">
        <v>0.5</v>
      </c>
      <c r="C338">
        <v>0</v>
      </c>
      <c r="D338">
        <v>0.5</v>
      </c>
      <c r="E338">
        <v>0.25</v>
      </c>
      <c r="F338">
        <v>0.5</v>
      </c>
      <c r="G338">
        <v>0.25</v>
      </c>
    </row>
    <row r="339" spans="1:7" x14ac:dyDescent="0.15">
      <c r="A339" t="str">
        <f>HYPERLINK("./new_k5/query_cmdrels_weight_analyze/0.8_0.1_0.1/ul_100959.xlsx","ul_100959")</f>
        <v>ul_100959</v>
      </c>
      <c r="B339">
        <v>0</v>
      </c>
      <c r="C339">
        <v>0</v>
      </c>
      <c r="D339">
        <v>0.25</v>
      </c>
      <c r="E339">
        <v>0.58333333333333326</v>
      </c>
      <c r="F339">
        <v>0.25</v>
      </c>
      <c r="G339">
        <v>0.58333333333333326</v>
      </c>
    </row>
    <row r="340" spans="1:7" x14ac:dyDescent="0.15">
      <c r="A340" t="str">
        <f>HYPERLINK("./new_k5/query_cmdrels_weight_analyze/0.8_0.1_0.1/ul_101073.xlsx","ul_101073")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HYPERLINK("./new_k5/query_cmdrels_weight_analyze/0.8_0.1_0.1/ul_101237.xlsx","ul_101237")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HYPERLINK("./new_k5/query_cmdrels_weight_analyze/0.8_0.1_0.1/ul_102752.xlsx","ul_102752")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HYPERLINK("./new_k5/query_cmdrels_weight_analyze/0.8_0.1_0.1/ul_108174.xlsx","ul_108174")</f>
        <v>ul_108174</v>
      </c>
      <c r="B343">
        <v>0</v>
      </c>
      <c r="C343">
        <v>0</v>
      </c>
      <c r="D343">
        <v>0.16666666666666671</v>
      </c>
      <c r="E343">
        <v>0.1111111111111111</v>
      </c>
      <c r="F343">
        <v>0.16666666666666671</v>
      </c>
      <c r="G343">
        <v>0.1111111111111111</v>
      </c>
    </row>
    <row r="344" spans="1:7" x14ac:dyDescent="0.15">
      <c r="A344" t="str">
        <f>HYPERLINK("./new_k5/query_cmdrels_weight_analyze/0.8_0.1_0.1/ul_109536.xlsx","ul_109536")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HYPERLINK("./new_k5/query_cmdrels_weight_analyze/0.8_0.1_0.1/ul_112050.xlsx","ul_112050")</f>
        <v>ul_112050</v>
      </c>
      <c r="B345">
        <v>0</v>
      </c>
      <c r="C345">
        <v>0.25</v>
      </c>
      <c r="D345">
        <v>0.125</v>
      </c>
      <c r="E345">
        <v>0.75</v>
      </c>
      <c r="F345">
        <v>0.125</v>
      </c>
      <c r="G345">
        <v>0.75</v>
      </c>
    </row>
    <row r="346" spans="1:7" x14ac:dyDescent="0.15">
      <c r="A346" t="str">
        <f>HYPERLINK("./new_k5/query_cmdrels_weight_analyze/0.8_0.1_0.1/ul_116070.xlsx","ul_116070")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HYPERLINK("./new_k5/query_cmdrels_weight_analyze/0.8_0.1_0.1/ul_11851.xlsx","ul_11851")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HYPERLINK("./new_k5/query_cmdrels_weight_analyze/0.8_0.1_0.1/ul_119126.xlsx","ul_119126")</f>
        <v>ul_119126</v>
      </c>
      <c r="B348">
        <v>0</v>
      </c>
      <c r="C348">
        <v>0.2</v>
      </c>
      <c r="D348">
        <v>0.1</v>
      </c>
      <c r="E348">
        <v>0.4</v>
      </c>
      <c r="F348">
        <v>0.18</v>
      </c>
      <c r="G348">
        <v>0.55000000000000004</v>
      </c>
    </row>
    <row r="349" spans="1:7" x14ac:dyDescent="0.15">
      <c r="A349" t="str">
        <f>HYPERLINK("./new_k5/query_cmdrels_weight_analyze/0.8_0.1_0.1/ul_121718.xlsx","ul_121718")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HYPERLINK("./new_k5/query_cmdrels_weight_analyze/0.8_0.1_0.1/ul_12227.xlsx","ul_12227")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HYPERLINK("./new_k5/query_cmdrels_weight_analyze/0.8_0.1_0.1/ul_12453.xlsx","ul_12453")</f>
        <v>ul_12453</v>
      </c>
      <c r="B351">
        <v>0</v>
      </c>
      <c r="C351">
        <v>0.25</v>
      </c>
      <c r="D351">
        <v>0.125</v>
      </c>
      <c r="E351">
        <v>0.75</v>
      </c>
      <c r="F351">
        <v>0.125</v>
      </c>
      <c r="G351">
        <v>1</v>
      </c>
    </row>
    <row r="352" spans="1:7" x14ac:dyDescent="0.15">
      <c r="A352" t="str">
        <f>HYPERLINK("./new_k5/query_cmdrels_weight_analyze/0.8_0.1_0.1/ul_12535.xlsx","ul_12535")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0.16666666666666671</v>
      </c>
    </row>
    <row r="353" spans="1:7" x14ac:dyDescent="0.15">
      <c r="A353" t="str">
        <f>HYPERLINK("./new_k5/query_cmdrels_weight_analyze/0.8_0.1_0.1/ul_127066.xlsx","ul_127066")</f>
        <v>ul_127066</v>
      </c>
      <c r="B353">
        <v>0.25</v>
      </c>
      <c r="C353">
        <v>0.25</v>
      </c>
      <c r="D353">
        <v>0.25</v>
      </c>
      <c r="E353">
        <v>0.5</v>
      </c>
      <c r="F353">
        <v>0.25</v>
      </c>
      <c r="G353">
        <v>0.65</v>
      </c>
    </row>
    <row r="354" spans="1:7" x14ac:dyDescent="0.15">
      <c r="A354" t="str">
        <f>HYPERLINK("./new_k5/query_cmdrels_weight_analyze/0.8_0.1_0.1/ul_128953.xlsx","ul_128953")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HYPERLINK("./new_k5/query_cmdrels_weight_analyze/0.8_0.1_0.1/ul_134829.xlsx","ul_134829")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0.66666666666666663</v>
      </c>
    </row>
    <row r="356" spans="1:7" x14ac:dyDescent="0.15">
      <c r="A356" t="str">
        <f>HYPERLINK("./new_k5/query_cmdrels_weight_analyze/0.8_0.1_0.1/ul_136371.xlsx","ul_136371")</f>
        <v>ul_136371</v>
      </c>
      <c r="B356">
        <v>0</v>
      </c>
      <c r="C356">
        <v>0</v>
      </c>
      <c r="D356">
        <v>0</v>
      </c>
      <c r="E356">
        <v>0.1111111111111111</v>
      </c>
      <c r="F356">
        <v>0</v>
      </c>
      <c r="G356">
        <v>0.27777777777777768</v>
      </c>
    </row>
    <row r="357" spans="1:7" x14ac:dyDescent="0.15">
      <c r="A357" t="str">
        <f>HYPERLINK("./new_k5/query_cmdrels_weight_analyze/0.8_0.1_0.1/ul_136884.xlsx","ul_136884")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HYPERLINK("./new_k5/query_cmdrels_weight_analyze/0.8_0.1_0.1/ul_138398.xlsx","ul_138398")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HYPERLINK("./new_k5/query_cmdrels_weight_analyze/0.8_0.1_0.1/ul_139271.xlsx","ul_139271")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0.5</v>
      </c>
      <c r="F359">
        <v>0.33333333333333331</v>
      </c>
      <c r="G359">
        <v>0.5</v>
      </c>
    </row>
    <row r="360" spans="1:7" x14ac:dyDescent="0.15">
      <c r="A360" t="str">
        <f>HYPERLINK("./new_k5/query_cmdrels_weight_analyze/0.8_0.1_0.1/ul_140482.xlsx","ul_140482")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HYPERLINK("./new_k5/query_cmdrels_weight_analyze/0.8_0.1_0.1/ul_14191.xlsx","ul_14191")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0.1111111111111111</v>
      </c>
    </row>
    <row r="362" spans="1:7" x14ac:dyDescent="0.15">
      <c r="A362" t="str">
        <f>HYPERLINK("./new_k5/query_cmdrels_weight_analyze/0.8_0.1_0.1/ul_145929.xlsx","ul_145929")</f>
        <v>ul_145929</v>
      </c>
      <c r="B362">
        <v>0</v>
      </c>
      <c r="C362">
        <v>0</v>
      </c>
      <c r="D362">
        <v>0.16666666666666671</v>
      </c>
      <c r="E362">
        <v>0.16666666666666671</v>
      </c>
      <c r="F362">
        <v>0.16666666666666671</v>
      </c>
      <c r="G362">
        <v>0.41666666666666657</v>
      </c>
    </row>
    <row r="363" spans="1:7" x14ac:dyDescent="0.15">
      <c r="A363" t="str">
        <f>HYPERLINK("./new_k5/query_cmdrels_weight_analyze/0.8_0.1_0.1/ul_148985.xlsx","ul_148985")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HYPERLINK("./new_k5/query_cmdrels_weight_analyze/0.8_0.1_0.1/ul_15405.xlsx","ul_15405")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HYPERLINK("./new_k5/query_cmdrels_weight_analyze/0.8_0.1_0.1/ul_155551.xlsx","ul_155551")</f>
        <v>ul_155551</v>
      </c>
      <c r="B365">
        <v>0</v>
      </c>
      <c r="C365">
        <v>0.5</v>
      </c>
      <c r="D365">
        <v>0</v>
      </c>
      <c r="E365">
        <v>0.83333333333333326</v>
      </c>
      <c r="F365">
        <v>0</v>
      </c>
      <c r="G365">
        <v>0.83333333333333326</v>
      </c>
    </row>
    <row r="366" spans="1:7" x14ac:dyDescent="0.15">
      <c r="A366" t="str">
        <f>HYPERLINK("./new_k5/query_cmdrels_weight_analyze/0.8_0.1_0.1/ul_159672.xlsx","ul_159672")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HYPERLINK("./new_k5/query_cmdrels_weight_analyze/0.8_0.1_0.1/ul_163845.xlsx","ul_163845")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0.47916666666666657</v>
      </c>
    </row>
    <row r="368" spans="1:7" x14ac:dyDescent="0.15">
      <c r="A368" t="str">
        <f>HYPERLINK("./new_k5/query_cmdrels_weight_analyze/0.8_0.1_0.1/ul_16407.xlsx","ul_16407")</f>
        <v>ul_16407</v>
      </c>
      <c r="B368">
        <v>0.5</v>
      </c>
      <c r="C368">
        <v>0</v>
      </c>
      <c r="D368">
        <v>0.5</v>
      </c>
      <c r="E368">
        <v>0.25</v>
      </c>
      <c r="F368">
        <v>0.75</v>
      </c>
      <c r="G368">
        <v>0.25</v>
      </c>
    </row>
    <row r="369" spans="1:7" x14ac:dyDescent="0.15">
      <c r="A369" t="str">
        <f>HYPERLINK("./new_k5/query_cmdrels_weight_analyze/0.8_0.1_0.1/ul_166558.xlsx","ul_166558")</f>
        <v>ul_166558</v>
      </c>
      <c r="B369">
        <v>0</v>
      </c>
      <c r="C369">
        <v>0</v>
      </c>
      <c r="D369">
        <v>0.125</v>
      </c>
      <c r="E369">
        <v>0.125</v>
      </c>
      <c r="F369">
        <v>0.125</v>
      </c>
      <c r="G369">
        <v>0.25</v>
      </c>
    </row>
    <row r="370" spans="1:7" x14ac:dyDescent="0.15">
      <c r="A370" t="str">
        <f>HYPERLINK("./new_k5/query_cmdrels_weight_analyze/0.8_0.1_0.1/ul_171314.xlsx","ul_171314")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0.33333333333333331</v>
      </c>
      <c r="F370">
        <v>0.16666666666666671</v>
      </c>
      <c r="G370">
        <v>0.45833333333333331</v>
      </c>
    </row>
    <row r="371" spans="1:7" x14ac:dyDescent="0.15">
      <c r="A371" t="str">
        <f>HYPERLINK("./new_k5/query_cmdrels_weight_analyze/0.8_0.1_0.1/ul_182032.xlsx","ul_182032")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HYPERLINK("./new_k5/query_cmdrels_weight_analyze/0.8_0.1_0.1/ul_19344.xlsx","ul_19344")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HYPERLINK("./new_k5/query_cmdrels_weight_analyze/0.8_0.1_0.1/ul_19369.xlsx","ul_19369")</f>
        <v>ul_19369</v>
      </c>
      <c r="B373">
        <v>0.2</v>
      </c>
      <c r="C373">
        <v>0</v>
      </c>
      <c r="D373">
        <v>0.2</v>
      </c>
      <c r="E373">
        <v>0</v>
      </c>
      <c r="F373">
        <v>0.2</v>
      </c>
      <c r="G373">
        <v>0.13</v>
      </c>
    </row>
    <row r="374" spans="1:7" x14ac:dyDescent="0.15">
      <c r="A374" t="str">
        <f>HYPERLINK("./new_k5/query_cmdrels_weight_analyze/0.8_0.1_0.1/ul_19485.xlsx","ul_19485")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HYPERLINK("./new_k5/query_cmdrels_weight_analyze/0.8_0.1_0.1/ul_20370.xlsx","ul_20370")</f>
        <v>ul_20370</v>
      </c>
      <c r="B375">
        <v>0</v>
      </c>
      <c r="C375">
        <v>0.5</v>
      </c>
      <c r="D375">
        <v>0</v>
      </c>
      <c r="E375">
        <v>0.5</v>
      </c>
      <c r="F375">
        <v>0</v>
      </c>
      <c r="G375">
        <v>0.5</v>
      </c>
    </row>
    <row r="376" spans="1:7" x14ac:dyDescent="0.15">
      <c r="A376" t="str">
        <f>HYPERLINK("./new_k5/query_cmdrels_weight_analyze/0.8_0.1_0.1/ul_211817.xlsx","ul_211817")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HYPERLINK("./new_k5/query_cmdrels_weight_analyze/0.8_0.1_0.1/ul_212925.xlsx","ul_212925")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HYPERLINK("./new_k5/query_cmdrels_weight_analyze/0.8_0.1_0.1/ul_21471.xlsx","ul_21471")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HYPERLINK("./new_k5/query_cmdrels_weight_analyze/0.8_0.1_0.1/ul_22545.xlsx","ul_22545")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HYPERLINK("./new_k5/query_cmdrels_weight_analyze/0.8_0.1_0.1/ul_230481.xlsx","ul_230481")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0.75555555555555554</v>
      </c>
    </row>
    <row r="381" spans="1:7" x14ac:dyDescent="0.15">
      <c r="A381" t="str">
        <f>HYPERLINK("./new_k5/query_cmdrels_weight_analyze/0.8_0.1_0.1/ul_230673.xlsx","ul_230673")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0.45</v>
      </c>
    </row>
    <row r="382" spans="1:7" x14ac:dyDescent="0.15">
      <c r="A382" t="str">
        <f>HYPERLINK("./new_k5/query_cmdrels_weight_analyze/0.8_0.1_0.1/ul_230800.xlsx","ul_230800")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HYPERLINK("./new_k5/query_cmdrels_weight_analyze/0.8_0.1_0.1/ul_232384.xlsx","ul_232384")</f>
        <v>ul_232384</v>
      </c>
      <c r="B383">
        <v>0</v>
      </c>
      <c r="C383">
        <v>0.5</v>
      </c>
      <c r="D383">
        <v>0</v>
      </c>
      <c r="E383">
        <v>0.83333333333333326</v>
      </c>
      <c r="F383">
        <v>0</v>
      </c>
      <c r="G383">
        <v>0.83333333333333326</v>
      </c>
    </row>
    <row r="384" spans="1:7" x14ac:dyDescent="0.15">
      <c r="A384" t="str">
        <f>HYPERLINK("./new_k5/query_cmdrels_weight_analyze/0.8_0.1_0.1/ul_24441.xlsx","ul_24441")</f>
        <v>ul_24441</v>
      </c>
      <c r="B384">
        <v>0</v>
      </c>
      <c r="C384">
        <v>0</v>
      </c>
      <c r="D384">
        <v>0</v>
      </c>
      <c r="E384">
        <v>0.25</v>
      </c>
      <c r="F384">
        <v>0</v>
      </c>
      <c r="G384">
        <v>0.25</v>
      </c>
    </row>
    <row r="385" spans="1:7" x14ac:dyDescent="0.15">
      <c r="A385" t="str">
        <f>HYPERLINK("./new_k5/query_cmdrels_weight_analyze/0.8_0.1_0.1/ul_246535.xlsx","ul_246535")</f>
        <v>ul_246535</v>
      </c>
      <c r="B385">
        <v>0.2</v>
      </c>
      <c r="C385">
        <v>0.2</v>
      </c>
      <c r="D385">
        <v>0.2</v>
      </c>
      <c r="E385">
        <v>0.2</v>
      </c>
      <c r="F385">
        <v>0.2</v>
      </c>
      <c r="G385">
        <v>0.42</v>
      </c>
    </row>
    <row r="386" spans="1:7" x14ac:dyDescent="0.15">
      <c r="A386" t="str">
        <f>HYPERLINK("./new_k5/query_cmdrels_weight_analyze/0.8_0.1_0.1/ul_259791.xlsx","ul_259791")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HYPERLINK("./new_k5/query_cmdrels_weight_analyze/0.8_0.1_0.1/ul_273971.xlsx","ul_273971")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0.16666666666666671</v>
      </c>
      <c r="F387">
        <v>0.43333333333333329</v>
      </c>
      <c r="G387">
        <v>0.23333333333333331</v>
      </c>
    </row>
    <row r="388" spans="1:7" x14ac:dyDescent="0.15">
      <c r="A388" t="str">
        <f>HYPERLINK("./new_k5/query_cmdrels_weight_analyze/0.8_0.1_0.1/ul_28553.xlsx","ul_28553")</f>
        <v>ul_28553</v>
      </c>
      <c r="B388">
        <v>0.25</v>
      </c>
      <c r="C388">
        <v>0.25</v>
      </c>
      <c r="D388">
        <v>0.5</v>
      </c>
      <c r="E388">
        <v>0.25</v>
      </c>
      <c r="F388">
        <v>0.5</v>
      </c>
      <c r="G388">
        <v>0.25</v>
      </c>
    </row>
    <row r="389" spans="1:7" x14ac:dyDescent="0.15">
      <c r="A389" t="str">
        <f>HYPERLINK("./new_k5/query_cmdrels_weight_analyze/0.8_0.1_0.1/ul_288521.xlsx","ul_288521")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HYPERLINK("./new_k5/query_cmdrels_weight_analyze/0.8_0.1_0.1/ul_32290.xlsx","ul_32290")</f>
        <v>ul_32290</v>
      </c>
      <c r="B390">
        <v>0</v>
      </c>
      <c r="C390">
        <v>0</v>
      </c>
      <c r="D390">
        <v>0</v>
      </c>
      <c r="E390">
        <v>8.3333333333333329E-2</v>
      </c>
      <c r="F390">
        <v>0</v>
      </c>
      <c r="G390">
        <v>8.3333333333333329E-2</v>
      </c>
    </row>
    <row r="391" spans="1:7" x14ac:dyDescent="0.15">
      <c r="A391" t="str">
        <f>HYPERLINK("./new_k5/query_cmdrels_weight_analyze/0.8_0.1_0.1/ul_328882.xlsx","ul_328882")</f>
        <v>ul_328882</v>
      </c>
      <c r="B391">
        <v>0</v>
      </c>
      <c r="C391">
        <v>0</v>
      </c>
      <c r="D391">
        <v>0</v>
      </c>
      <c r="E391">
        <v>0.33333333333333331</v>
      </c>
      <c r="F391">
        <v>0</v>
      </c>
      <c r="G391">
        <v>0.33333333333333331</v>
      </c>
    </row>
    <row r="392" spans="1:7" x14ac:dyDescent="0.15">
      <c r="A392" t="str">
        <f>HYPERLINK("./new_k5/query_cmdrels_weight_analyze/0.8_0.1_0.1/ul_35131.xlsx","ul_35131")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0.8666666666666667</v>
      </c>
    </row>
    <row r="393" spans="1:7" x14ac:dyDescent="0.15">
      <c r="A393" t="str">
        <f>HYPERLINK("./new_k5/query_cmdrels_weight_analyze/0.8_0.1_0.1/ul_35333.xlsx","ul_35333")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HYPERLINK("./new_k5/query_cmdrels_weight_analyze/0.8_0.1_0.1/ul_35711.xlsx","ul_35711")</f>
        <v>ul_35711</v>
      </c>
      <c r="B394">
        <v>0.5</v>
      </c>
      <c r="C394">
        <v>0</v>
      </c>
      <c r="D394">
        <v>0.5</v>
      </c>
      <c r="E394">
        <v>0.16666666666666671</v>
      </c>
      <c r="F394">
        <v>0.5</v>
      </c>
      <c r="G394">
        <v>0.16666666666666671</v>
      </c>
    </row>
    <row r="395" spans="1:7" x14ac:dyDescent="0.15">
      <c r="A395" t="str">
        <f>HYPERLINK("./new_k5/query_cmdrels_weight_analyze/0.8_0.1_0.1/ul_3575.xlsx","ul_3575")</f>
        <v>ul_3575</v>
      </c>
      <c r="B395">
        <v>0</v>
      </c>
      <c r="C395">
        <v>0</v>
      </c>
      <c r="D395">
        <v>8.3333333333333329E-2</v>
      </c>
      <c r="E395">
        <v>8.3333333333333329E-2</v>
      </c>
      <c r="F395">
        <v>8.3333333333333329E-2</v>
      </c>
      <c r="G395">
        <v>8.3333333333333329E-2</v>
      </c>
    </row>
    <row r="396" spans="1:7" x14ac:dyDescent="0.15">
      <c r="A396" t="str">
        <f>HYPERLINK("./new_k5/query_cmdrels_weight_analyze/0.8_0.1_0.1/ul_35832.xlsx","ul_35832")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HYPERLINK("./new_k5/query_cmdrels_weight_analyze/0.8_0.1_0.1/ul_370318.xlsx","ul_370318")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0.23809523809523811</v>
      </c>
      <c r="F397">
        <v>0.14285714285714279</v>
      </c>
      <c r="G397">
        <v>0.34523809523809518</v>
      </c>
    </row>
    <row r="398" spans="1:7" x14ac:dyDescent="0.15">
      <c r="A398" t="str">
        <f>HYPERLINK("./new_k5/query_cmdrels_weight_analyze/0.8_0.1_0.1/ul_37329.xlsx","ul_37329")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0.55555555555555547</v>
      </c>
      <c r="F398">
        <v>0.33333333333333331</v>
      </c>
      <c r="G398">
        <v>0.55555555555555547</v>
      </c>
    </row>
    <row r="399" spans="1:7" x14ac:dyDescent="0.15">
      <c r="A399" t="str">
        <f>HYPERLINK("./new_k5/query_cmdrels_weight_analyze/0.8_0.1_0.1/ul_38209.xlsx","ul_38209")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HYPERLINK("./new_k5/query_cmdrels_weight_analyze/0.8_0.1_0.1/ul_41246.xlsx","ul_41246")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HYPERLINK("./new_k5/query_cmdrels_weight_analyze/0.8_0.1_0.1/ul_41362.xlsx","ul_41362")</f>
        <v>ul_41362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6.25E-2</v>
      </c>
    </row>
    <row r="402" spans="1:7" x14ac:dyDescent="0.15">
      <c r="A402" t="str">
        <f>HYPERLINK("./new_k5/query_cmdrels_weight_analyze/0.8_0.1_0.1/ul_48200.xlsx","ul_48200")</f>
        <v>ul_48200</v>
      </c>
      <c r="B402">
        <v>0</v>
      </c>
      <c r="C402">
        <v>0.5</v>
      </c>
      <c r="D402">
        <v>0</v>
      </c>
      <c r="E402">
        <v>1</v>
      </c>
      <c r="F402">
        <v>0</v>
      </c>
      <c r="G402">
        <v>1</v>
      </c>
    </row>
    <row r="403" spans="1:7" x14ac:dyDescent="0.15">
      <c r="A403" t="str">
        <f>HYPERLINK("./new_k5/query_cmdrels_weight_analyze/0.8_0.1_0.1/ul_50098.xlsx","ul_50098")</f>
        <v>ul_50098</v>
      </c>
      <c r="B403">
        <v>0</v>
      </c>
      <c r="C403">
        <v>0.1</v>
      </c>
      <c r="D403">
        <v>0.1166666666666667</v>
      </c>
      <c r="E403">
        <v>0.16666666666666671</v>
      </c>
      <c r="F403">
        <v>0.1166666666666667</v>
      </c>
      <c r="G403">
        <v>0.22666666666666671</v>
      </c>
    </row>
    <row r="404" spans="1:7" x14ac:dyDescent="0.15">
      <c r="A404" t="str">
        <f>HYPERLINK("./new_k5/query_cmdrels_weight_analyze/0.8_0.1_0.1/ul_50785.xlsx","ul_50785")</f>
        <v>ul_50785</v>
      </c>
      <c r="B404">
        <v>0.25</v>
      </c>
      <c r="C404">
        <v>0</v>
      </c>
      <c r="D404">
        <v>0.25</v>
      </c>
      <c r="E404">
        <v>0.125</v>
      </c>
      <c r="F404">
        <v>0.25</v>
      </c>
      <c r="G404">
        <v>0.125</v>
      </c>
    </row>
    <row r="405" spans="1:7" x14ac:dyDescent="0.15">
      <c r="A405" t="str">
        <f>HYPERLINK("./new_k5/query_cmdrels_weight_analyze/0.8_0.1_0.1/ul_5085.xlsx","ul_5085")</f>
        <v>ul_5085</v>
      </c>
      <c r="B405">
        <v>0</v>
      </c>
      <c r="C405">
        <v>0</v>
      </c>
      <c r="D405">
        <v>0.25</v>
      </c>
      <c r="E405">
        <v>0.25</v>
      </c>
      <c r="F405">
        <v>0.25</v>
      </c>
      <c r="G405">
        <v>0.25</v>
      </c>
    </row>
    <row r="406" spans="1:7" x14ac:dyDescent="0.15">
      <c r="A406" t="str">
        <f>HYPERLINK("./new_k5/query_cmdrels_weight_analyze/0.8_0.1_0.1/ul_53737.xlsx","ul_53737")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HYPERLINK("./new_k5/query_cmdrels_weight_analyze/0.8_0.1_0.1/ul_55125.xlsx","ul_55125")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HYPERLINK("./new_k5/query_cmdrels_weight_analyze/0.8_0.1_0.1/ul_56453.xlsx","ul_56453")</f>
        <v>ul_56453</v>
      </c>
      <c r="B408">
        <v>0</v>
      </c>
      <c r="C408">
        <v>0.25</v>
      </c>
      <c r="D408">
        <v>8.3333333333333329E-2</v>
      </c>
      <c r="E408">
        <v>0.25</v>
      </c>
      <c r="F408">
        <v>8.3333333333333329E-2</v>
      </c>
      <c r="G408">
        <v>0.35</v>
      </c>
    </row>
    <row r="409" spans="1:7" x14ac:dyDescent="0.15">
      <c r="A409" t="str">
        <f>HYPERLINK("./new_k5/query_cmdrels_weight_analyze/0.8_0.1_0.1/ul_63648.xlsx","ul_63648")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HYPERLINK("./new_k5/query_cmdrels_weight_analyze/0.8_0.1_0.1/ul_6402.xlsx","ul_6402")</f>
        <v>ul_6402</v>
      </c>
      <c r="B410">
        <v>0.33333333333333331</v>
      </c>
      <c r="C410">
        <v>0.33333333333333331</v>
      </c>
      <c r="D410">
        <v>0.33333333333333331</v>
      </c>
      <c r="E410">
        <v>0.33333333333333331</v>
      </c>
      <c r="F410">
        <v>0.33333333333333331</v>
      </c>
      <c r="G410">
        <v>0.33333333333333331</v>
      </c>
    </row>
    <row r="411" spans="1:7" x14ac:dyDescent="0.15">
      <c r="A411" t="str">
        <f>HYPERLINK("./new_k5/query_cmdrels_weight_analyze/0.8_0.1_0.1/ul_65106.xlsx","ul_65106")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0.66666666666666663</v>
      </c>
    </row>
    <row r="412" spans="1:7" x14ac:dyDescent="0.15">
      <c r="A412" t="str">
        <f>HYPERLINK("./new_k5/query_cmdrels_weight_analyze/0.8_0.1_0.1/ul_65932.xlsx","ul_65932")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HYPERLINK("./new_k5/query_cmdrels_weight_analyze/0.8_0.1_0.1/ul_6596.xlsx","ul_6596")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HYPERLINK("./new_k5/query_cmdrels_weight_analyze/0.8_0.1_0.1/ul_67503.xlsx","ul_67503")</f>
        <v>ul_67503</v>
      </c>
      <c r="B414">
        <v>0</v>
      </c>
      <c r="C414">
        <v>0.5</v>
      </c>
      <c r="D414">
        <v>0.25</v>
      </c>
      <c r="E414">
        <v>1</v>
      </c>
      <c r="F414">
        <v>0.5</v>
      </c>
      <c r="G414">
        <v>1</v>
      </c>
    </row>
    <row r="415" spans="1:7" x14ac:dyDescent="0.15">
      <c r="A415" t="str">
        <f>HYPERLINK("./new_k5/query_cmdrels_weight_analyze/0.8_0.1_0.1/ul_67592.xlsx","ul_67592")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HYPERLINK("./new_k5/query_cmdrels_weight_analyze/0.8_0.1_0.1/ul_70581.xlsx","ul_70581")</f>
        <v>ul_70581</v>
      </c>
      <c r="B416">
        <v>0</v>
      </c>
      <c r="C416">
        <v>0.2</v>
      </c>
      <c r="D416">
        <v>0.1</v>
      </c>
      <c r="E416">
        <v>0.6</v>
      </c>
      <c r="F416">
        <v>0.1</v>
      </c>
      <c r="G416">
        <v>0.6</v>
      </c>
    </row>
    <row r="417" spans="1:7" x14ac:dyDescent="0.15">
      <c r="A417" t="str">
        <f>HYPERLINK("./new_k5/query_cmdrels_weight_analyze/0.8_0.1_0.1/ul_70614.xlsx","ul_70614")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15">
      <c r="A418" t="str">
        <f>HYPERLINK("./new_k5/query_cmdrels_weight_analyze/0.8_0.1_0.1/ul_71465.xlsx","ul_71465")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HYPERLINK("./new_k5/query_cmdrels_weight_analyze/0.8_0.1_0.1/ul_7226.xlsx","ul_7226")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0.33333333333333331</v>
      </c>
      <c r="F419">
        <v>0.33333333333333331</v>
      </c>
      <c r="G419">
        <v>0.5</v>
      </c>
    </row>
    <row r="420" spans="1:7" x14ac:dyDescent="0.15">
      <c r="A420" t="str">
        <f>HYPERLINK("./new_k5/query_cmdrels_weight_analyze/0.8_0.1_0.1/ul_78182.xlsx","ul_78182")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</v>
      </c>
    </row>
    <row r="421" spans="1:7" x14ac:dyDescent="0.15">
      <c r="A421" t="str">
        <f>HYPERLINK("./new_k5/query_cmdrels_weight_analyze/0.8_0.1_0.1/ul_79678.xlsx","ul_79678")</f>
        <v>ul_79678</v>
      </c>
      <c r="B421">
        <v>0</v>
      </c>
      <c r="C421">
        <v>0</v>
      </c>
      <c r="D421">
        <v>0.25</v>
      </c>
      <c r="E421">
        <v>0.16666666666666671</v>
      </c>
      <c r="F421">
        <v>0.25</v>
      </c>
      <c r="G421">
        <v>0.16666666666666671</v>
      </c>
    </row>
    <row r="422" spans="1:7" x14ac:dyDescent="0.15">
      <c r="A422" t="str">
        <f>HYPERLINK("./new_k5/query_cmdrels_weight_analyze/0.8_0.1_0.1/ul_79702.xlsx","ul_79702")</f>
        <v>ul_79702</v>
      </c>
      <c r="B422">
        <v>0</v>
      </c>
      <c r="C422">
        <v>0.33333333333333331</v>
      </c>
      <c r="D422">
        <v>0</v>
      </c>
      <c r="E422">
        <v>0.66666666666666663</v>
      </c>
      <c r="F422">
        <v>0</v>
      </c>
      <c r="G422">
        <v>0.8666666666666667</v>
      </c>
    </row>
    <row r="423" spans="1:7" x14ac:dyDescent="0.15">
      <c r="A423" t="str">
        <f>HYPERLINK("./new_k5/query_cmdrels_weight_analyze/0.8_0.1_0.1/ul_83593.xlsx","ul_83593")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HYPERLINK("./new_k5/query_cmdrels_weight_analyze/0.8_0.1_0.1/ul_84381.xlsx","ul_84381")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HYPERLINK("./new_k5/query_cmdrels_weight_analyze/0.8_0.1_0.1/ul_85180.xlsx","ul_85180")</f>
        <v>ul_85180</v>
      </c>
      <c r="B425">
        <v>0</v>
      </c>
      <c r="C425">
        <v>0.33333333333333331</v>
      </c>
      <c r="D425">
        <v>0.16666666666666671</v>
      </c>
      <c r="E425">
        <v>0.33333333333333331</v>
      </c>
      <c r="F425">
        <v>0.16666666666666671</v>
      </c>
      <c r="G425">
        <v>0.5</v>
      </c>
    </row>
    <row r="426" spans="1:7" x14ac:dyDescent="0.15">
      <c r="A426" t="str">
        <f>HYPERLINK("./new_k5/query_cmdrels_weight_analyze/0.8_0.1_0.1/ul_86071.xlsx","ul_86071")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HYPERLINK("./new_k5/query_cmdrels_weight_analyze/0.8_0.1_0.1/ul_86729.xlsx","ul_86729")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HYPERLINK("./new_k5/query_cmdrels_weight_analyze/0.8_0.1_0.1/ul_88824.xlsx","ul_88824")</f>
        <v>ul_88824</v>
      </c>
      <c r="B428">
        <v>0</v>
      </c>
      <c r="C428">
        <v>0.33333333333333331</v>
      </c>
      <c r="D428">
        <v>0</v>
      </c>
      <c r="E428">
        <v>0.66666666666666663</v>
      </c>
      <c r="F428">
        <v>0</v>
      </c>
      <c r="G428">
        <v>0.66666666666666663</v>
      </c>
    </row>
    <row r="429" spans="1:7" x14ac:dyDescent="0.15">
      <c r="A429" t="str">
        <f>HYPERLINK("./new_k5/query_cmdrels_weight_analyze/0.8_0.1_0.1/ul_8945.xlsx","ul_8945")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HYPERLINK("./new_k5/query_cmdrels_weight_analyze/0.8_0.1_0.1/ul_89933.xlsx","ul_89933")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HYPERLINK("./new_k5/query_cmdrels_weight_analyze/0.8_0.1_0.1/ul_91297.xlsx","ul_91297")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HYPERLINK("./new_k5/query_cmdrels_weight_analyze/0.8_0.1_0.1/ul_9252.xlsx","ul_9252")</f>
        <v>ul_9252</v>
      </c>
      <c r="B432">
        <v>0</v>
      </c>
      <c r="C432">
        <v>0</v>
      </c>
      <c r="D432">
        <v>0.23333333333333331</v>
      </c>
      <c r="E432">
        <v>0</v>
      </c>
      <c r="F432">
        <v>0.23333333333333331</v>
      </c>
      <c r="G432">
        <v>0.13</v>
      </c>
    </row>
    <row r="433" spans="1:7" x14ac:dyDescent="0.15">
      <c r="A433" t="str">
        <f>HYPERLINK("./new_k5/query_cmdrels_weight_analyze/0.8_0.1_0.1/ul_92560.xlsx","ul_92560")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0.7</v>
      </c>
    </row>
    <row r="434" spans="1:7" x14ac:dyDescent="0.15">
      <c r="A434" t="str">
        <f>HYPERLINK("./new_k5/query_cmdrels_weight_analyze/0.8_0.1_0.1/ul_92799.xlsx","ul_92799")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0.27777777777777768</v>
      </c>
      <c r="F434">
        <v>0.53611111111111109</v>
      </c>
      <c r="G434">
        <v>0.53611111111111109</v>
      </c>
    </row>
    <row r="435" spans="1:7" x14ac:dyDescent="0.15">
      <c r="A435" t="str">
        <f>HYPERLINK("./new_k5/query_cmdrels_weight_analyze/0.8_0.1_0.1/ul_93139.xlsx","ul_93139")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HYPERLINK("./new_k5/query_cmdrels_weight_analyze/0.8_0.1_0.1/ul_98461.xlsx","ul_98461")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HYPERLINK("./new_k5/query_cmdrels_weight_analyze/0.1_0.3_0.6/au_102733.xlsx","au_102733")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0.35</v>
      </c>
    </row>
    <row r="4" spans="1:7" x14ac:dyDescent="0.15">
      <c r="A4" t="str">
        <f>HYPERLINK("./new_k5/query_cmdrels_weight_analyze/0.1_0.3_0.6/au_1029436.xlsx","au_1029436")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HYPERLINK("./new_k5/query_cmdrels_weight_analyze/0.1_0.3_0.6/au_1029502.xlsx","au_1029502")</f>
        <v>au_1029502</v>
      </c>
      <c r="B5">
        <v>0.25</v>
      </c>
      <c r="C5">
        <v>0.25</v>
      </c>
      <c r="D5">
        <v>0.25</v>
      </c>
      <c r="E5">
        <v>0.25</v>
      </c>
      <c r="F5">
        <v>0.375</v>
      </c>
      <c r="G5">
        <v>0.25</v>
      </c>
    </row>
    <row r="6" spans="1:7" x14ac:dyDescent="0.15">
      <c r="A6" t="str">
        <f>HYPERLINK("./new_k5/query_cmdrels_weight_analyze/0.1_0.3_0.6/au_1029531.xlsx","au_1029531")</f>
        <v>au_1029531</v>
      </c>
      <c r="B6">
        <v>0.33333333333333331</v>
      </c>
      <c r="C6">
        <v>0</v>
      </c>
      <c r="D6">
        <v>0.33333333333333331</v>
      </c>
      <c r="E6">
        <v>0.16666666666666671</v>
      </c>
      <c r="F6">
        <v>0.46666666666666662</v>
      </c>
      <c r="G6">
        <v>0.16666666666666671</v>
      </c>
    </row>
    <row r="7" spans="1:7" x14ac:dyDescent="0.15">
      <c r="A7" t="str">
        <f>HYPERLINK("./new_k5/query_cmdrels_weight_analyze/0.1_0.3_0.6/au_104542.xlsx","au_104542")</f>
        <v>au_104542</v>
      </c>
      <c r="B7">
        <v>0.125</v>
      </c>
      <c r="C7">
        <v>0.125</v>
      </c>
      <c r="D7">
        <v>0.25</v>
      </c>
      <c r="E7">
        <v>0.25</v>
      </c>
      <c r="F7">
        <v>0.25</v>
      </c>
      <c r="G7">
        <v>0.34375</v>
      </c>
    </row>
    <row r="8" spans="1:7" x14ac:dyDescent="0.15">
      <c r="A8" t="str">
        <f>HYPERLINK("./new_k5/query_cmdrels_weight_analyze/0.1_0.3_0.6/au_109070.xlsx","au_109070")</f>
        <v>au_109070</v>
      </c>
      <c r="B8">
        <v>0</v>
      </c>
      <c r="C8">
        <v>0</v>
      </c>
      <c r="D8">
        <v>0.23333333333333331</v>
      </c>
      <c r="E8">
        <v>0.1</v>
      </c>
      <c r="F8">
        <v>0.3833333333333333</v>
      </c>
      <c r="G8">
        <v>0.1</v>
      </c>
    </row>
    <row r="9" spans="1:7" x14ac:dyDescent="0.15">
      <c r="A9" t="str">
        <f>HYPERLINK("./new_k5/query_cmdrels_weight_analyze/0.1_0.3_0.6/au_109381.xlsx","au_109381")</f>
        <v>au_109381</v>
      </c>
      <c r="B9">
        <v>0</v>
      </c>
      <c r="C9">
        <v>0.5</v>
      </c>
      <c r="D9">
        <v>0.25</v>
      </c>
      <c r="E9">
        <v>0.5</v>
      </c>
      <c r="F9">
        <v>0.25</v>
      </c>
      <c r="G9">
        <v>0.5</v>
      </c>
    </row>
    <row r="10" spans="1:7" x14ac:dyDescent="0.15">
      <c r="A10" t="str">
        <f>HYPERLINK("./new_k5/query_cmdrels_weight_analyze/0.1_0.3_0.6/au_110477.xlsx","au_110477")</f>
        <v>au_110477</v>
      </c>
      <c r="B10">
        <v>0.25</v>
      </c>
      <c r="C10">
        <v>0.25</v>
      </c>
      <c r="D10">
        <v>0.5</v>
      </c>
      <c r="E10">
        <v>0.5</v>
      </c>
      <c r="F10">
        <v>0.5</v>
      </c>
      <c r="G10">
        <v>0.65</v>
      </c>
    </row>
    <row r="11" spans="1:7" x14ac:dyDescent="0.15">
      <c r="A11" t="str">
        <f>HYPERLINK("./new_k5/query_cmdrels_weight_analyze/0.1_0.3_0.6/au_111678.xlsx","au_111678")</f>
        <v>au_111678</v>
      </c>
      <c r="B11">
        <v>0</v>
      </c>
      <c r="C11">
        <v>0.33333333333333331</v>
      </c>
      <c r="D11">
        <v>0.1111111111111111</v>
      </c>
      <c r="E11">
        <v>0.33333333333333331</v>
      </c>
      <c r="F11">
        <v>0.1111111111111111</v>
      </c>
      <c r="G11">
        <v>0.33333333333333331</v>
      </c>
    </row>
    <row r="12" spans="1:7" x14ac:dyDescent="0.15">
      <c r="A12" t="str">
        <f>HYPERLINK("./new_k5/query_cmdrels_weight_analyze/0.1_0.3_0.6/au_112512.xlsx","au_112512")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HYPERLINK("./new_k5/query_cmdrels_weight_analyze/0.1_0.3_0.6/au_115369.xlsx","au_115369")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HYPERLINK("./new_k5/query_cmdrels_weight_analyze/0.1_0.3_0.6/au_11789.xlsx","au_11789")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HYPERLINK("./new_k5/query_cmdrels_weight_analyze/0.1_0.3_0.6/au_117950.xlsx","au_117950")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0.1</v>
      </c>
    </row>
    <row r="16" spans="1:7" x14ac:dyDescent="0.15">
      <c r="A16" t="str">
        <f>HYPERLINK("./new_k5/query_cmdrels_weight_analyze/0.1_0.3_0.6/au_122113.xlsx","au_122113")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HYPERLINK("./new_k5/query_cmdrels_weight_analyze/0.1_0.3_0.6/au_123798.xlsx","au_123798")</f>
        <v>au_123798</v>
      </c>
      <c r="B17">
        <v>0</v>
      </c>
      <c r="C17">
        <v>0</v>
      </c>
      <c r="D17">
        <v>5.5555555555555552E-2</v>
      </c>
      <c r="E17">
        <v>0.19444444444444439</v>
      </c>
      <c r="F17">
        <v>0.23888888888888879</v>
      </c>
      <c r="G17">
        <v>0.31944444444444442</v>
      </c>
    </row>
    <row r="18" spans="1:7" x14ac:dyDescent="0.15">
      <c r="A18" t="str">
        <f>HYPERLINK("./new_k5/query_cmdrels_weight_analyze/0.1_0.3_0.6/au_125257.xlsx","au_125257")</f>
        <v>au_125257</v>
      </c>
      <c r="B18">
        <v>0.25</v>
      </c>
      <c r="C18">
        <v>0.25</v>
      </c>
      <c r="D18">
        <v>0.41666666666666657</v>
      </c>
      <c r="E18">
        <v>0.25</v>
      </c>
      <c r="F18">
        <v>0.56666666666666665</v>
      </c>
      <c r="G18">
        <v>0.375</v>
      </c>
    </row>
    <row r="19" spans="1:7" x14ac:dyDescent="0.15">
      <c r="A19" t="str">
        <f>HYPERLINK("./new_k5/query_cmdrels_weight_analyze/0.1_0.3_0.6/au_126153.xlsx","au_126153")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0.27777777777777768</v>
      </c>
      <c r="F19">
        <v>0.45833333333333331</v>
      </c>
      <c r="G19">
        <v>0.40277777777777768</v>
      </c>
    </row>
    <row r="20" spans="1:7" x14ac:dyDescent="0.15">
      <c r="A20" t="str">
        <f>HYPERLINK("./new_k5/query_cmdrels_weight_analyze/0.1_0.3_0.6/au_127326.xlsx","au_127326")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HYPERLINK("./new_k5/query_cmdrels_weight_analyze/0.1_0.3_0.6/au_128463.xlsx","au_128463")</f>
        <v>au_128463</v>
      </c>
      <c r="B21">
        <v>0.33333333333333331</v>
      </c>
      <c r="C21">
        <v>0.33333333333333331</v>
      </c>
      <c r="D21">
        <v>1</v>
      </c>
      <c r="E21">
        <v>1</v>
      </c>
      <c r="F21">
        <v>1</v>
      </c>
      <c r="G21">
        <v>1</v>
      </c>
    </row>
    <row r="22" spans="1:7" x14ac:dyDescent="0.15">
      <c r="A22" t="str">
        <f>HYPERLINK("./new_k5/query_cmdrels_weight_analyze/0.1_0.3_0.6/au_130393.xlsx","au_130393")</f>
        <v>au_130393</v>
      </c>
      <c r="B22">
        <v>0</v>
      </c>
      <c r="C22">
        <v>0.25</v>
      </c>
      <c r="D22">
        <v>0.125</v>
      </c>
      <c r="E22">
        <v>0.25</v>
      </c>
      <c r="F22">
        <v>0.125</v>
      </c>
      <c r="G22">
        <v>0.25</v>
      </c>
    </row>
    <row r="23" spans="1:7" x14ac:dyDescent="0.15">
      <c r="A23" t="str">
        <f>HYPERLINK("./new_k5/query_cmdrels_weight_analyze/0.1_0.3_0.6/au_131570.xlsx","au_131570")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HYPERLINK("./new_k5/query_cmdrels_weight_analyze/0.1_0.3_0.6/au_133318.xlsx","au_133318")</f>
        <v>au_133318</v>
      </c>
      <c r="B24">
        <v>0</v>
      </c>
      <c r="C24">
        <v>0.25</v>
      </c>
      <c r="D24">
        <v>0</v>
      </c>
      <c r="E24">
        <v>0.25</v>
      </c>
      <c r="F24">
        <v>0</v>
      </c>
      <c r="G24">
        <v>0.375</v>
      </c>
    </row>
    <row r="25" spans="1:7" x14ac:dyDescent="0.15">
      <c r="A25" t="str">
        <f>HYPERLINK("./new_k5/query_cmdrels_weight_analyze/0.1_0.3_0.6/au_133343.xlsx","au_133343")</f>
        <v>au_133343</v>
      </c>
      <c r="B25">
        <v>0</v>
      </c>
      <c r="C25">
        <v>0</v>
      </c>
      <c r="D25">
        <v>0</v>
      </c>
      <c r="E25">
        <v>0.1111111111111111</v>
      </c>
      <c r="F25">
        <v>0</v>
      </c>
      <c r="G25">
        <v>0.27777777777777768</v>
      </c>
    </row>
    <row r="26" spans="1:7" x14ac:dyDescent="0.15">
      <c r="A26" t="str">
        <f>HYPERLINK("./new_k5/query_cmdrels_weight_analyze/0.1_0.3_0.6/au_133389.xlsx","au_133389")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HYPERLINK("./new_k5/query_cmdrels_weight_analyze/0.1_0.3_0.6/au_141277.xlsx","au_141277")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HYPERLINK("./new_k5/query_cmdrels_weight_analyze/0.1_0.3_0.6/au_143819.xlsx","au_143819")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0.23809523809523811</v>
      </c>
    </row>
    <row r="29" spans="1:7" x14ac:dyDescent="0.15">
      <c r="A29" t="str">
        <f>HYPERLINK("./new_k5/query_cmdrels_weight_analyze/0.1_0.3_0.6/au_145935.xlsx","au_145935")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HYPERLINK("./new_k5/query_cmdrels_weight_analyze/0.1_0.3_0.6/au_147241.xlsx","au_147241")</f>
        <v>au_147241</v>
      </c>
      <c r="B30">
        <v>0</v>
      </c>
      <c r="C30">
        <v>0</v>
      </c>
      <c r="D30">
        <v>0.29166666666666657</v>
      </c>
      <c r="E30">
        <v>8.3333333333333329E-2</v>
      </c>
      <c r="F30">
        <v>0.29166666666666657</v>
      </c>
      <c r="G30">
        <v>0.18333333333333329</v>
      </c>
    </row>
    <row r="31" spans="1:7" x14ac:dyDescent="0.15">
      <c r="A31" t="str">
        <f>HYPERLINK("./new_k5/query_cmdrels_weight_analyze/0.1_0.3_0.6/au_147800.xlsx","au_147800")</f>
        <v>au_147800</v>
      </c>
      <c r="B31">
        <v>0</v>
      </c>
      <c r="C31">
        <v>0</v>
      </c>
      <c r="D31">
        <v>0.1111111111111111</v>
      </c>
      <c r="E31">
        <v>0.1111111111111111</v>
      </c>
      <c r="F31">
        <v>0.1111111111111111</v>
      </c>
      <c r="G31">
        <v>0.1111111111111111</v>
      </c>
    </row>
    <row r="32" spans="1:7" x14ac:dyDescent="0.15">
      <c r="A32" t="str">
        <f>HYPERLINK("./new_k5/query_cmdrels_weight_analyze/0.1_0.3_0.6/au_148321.xlsx","au_148321")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0.27777777777777768</v>
      </c>
    </row>
    <row r="33" spans="1:7" x14ac:dyDescent="0.15">
      <c r="A33" t="str">
        <f>HYPERLINK("./new_k5/query_cmdrels_weight_analyze/0.1_0.3_0.6/au_148638.xlsx","au_148638")</f>
        <v>au_148638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15">
      <c r="A34" t="str">
        <f>HYPERLINK("./new_k5/query_cmdrels_weight_analyze/0.1_0.3_0.6/au_151049.xlsx","au_151049")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HYPERLINK("./new_k5/query_cmdrels_weight_analyze/0.1_0.3_0.6/au_151941.xlsx","au_151941")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HYPERLINK("./new_k5/query_cmdrels_weight_analyze/0.1_0.3_0.6/au_152297.xlsx","au_152297")</f>
        <v>au_152297</v>
      </c>
      <c r="B36">
        <v>0</v>
      </c>
      <c r="C36">
        <v>0.14285714285714279</v>
      </c>
      <c r="D36">
        <v>7.1428571428571425E-2</v>
      </c>
      <c r="E36">
        <v>0.23809523809523811</v>
      </c>
      <c r="F36">
        <v>7.1428571428571425E-2</v>
      </c>
      <c r="G36">
        <v>0.23809523809523811</v>
      </c>
    </row>
    <row r="37" spans="1:7" x14ac:dyDescent="0.15">
      <c r="A37" t="str">
        <f>HYPERLINK("./new_k5/query_cmdrels_weight_analyze/0.1_0.3_0.6/au_153976.xlsx","au_153976")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0.16666666666666671</v>
      </c>
      <c r="F37">
        <v>0.33333333333333331</v>
      </c>
      <c r="G37">
        <v>0.25</v>
      </c>
    </row>
    <row r="38" spans="1:7" x14ac:dyDescent="0.15">
      <c r="A38" t="str">
        <f>HYPERLINK("./new_k5/query_cmdrels_weight_analyze/0.1_0.3_0.6/au_154431.xlsx","au_154431")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HYPERLINK("./new_k5/query_cmdrels_weight_analyze/0.1_0.3_0.6/au_159708.xlsx","au_159708")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0.55555555555555547</v>
      </c>
      <c r="F39">
        <v>0.33333333333333331</v>
      </c>
      <c r="G39">
        <v>0.55555555555555547</v>
      </c>
    </row>
    <row r="40" spans="1:7" x14ac:dyDescent="0.15">
      <c r="A40" t="str">
        <f>HYPERLINK("./new_k5/query_cmdrels_weight_analyze/0.1_0.3_0.6/au_160869.xlsx","au_160869")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HYPERLINK("./new_k5/query_cmdrels_weight_analyze/0.1_0.3_0.6/au_161313.xlsx","au_161313")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</v>
      </c>
    </row>
    <row r="42" spans="1:7" x14ac:dyDescent="0.15">
      <c r="A42" t="str">
        <f>HYPERLINK("./new_k5/query_cmdrels_weight_analyze/0.1_0.3_0.6/au_162075.xlsx","au_162075")</f>
        <v>au_162075</v>
      </c>
      <c r="B42">
        <v>0.25</v>
      </c>
      <c r="C42">
        <v>0</v>
      </c>
      <c r="D42">
        <v>0.5</v>
      </c>
      <c r="E42">
        <v>8.3333333333333329E-2</v>
      </c>
      <c r="F42">
        <v>0.5</v>
      </c>
      <c r="G42">
        <v>0.20833333333333329</v>
      </c>
    </row>
    <row r="43" spans="1:7" x14ac:dyDescent="0.15">
      <c r="A43" t="str">
        <f>HYPERLINK("./new_k5/query_cmdrels_weight_analyze/0.1_0.3_0.6/au_16277.xlsx","au_16277")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0.83333333333333337</v>
      </c>
    </row>
    <row r="44" spans="1:7" x14ac:dyDescent="0.15">
      <c r="A44" t="str">
        <f>HYPERLINK("./new_k5/query_cmdrels_weight_analyze/0.1_0.3_0.6/au_163155.xlsx","au_163155")</f>
        <v>au_163155</v>
      </c>
      <c r="B44">
        <v>0.125</v>
      </c>
      <c r="C44">
        <v>0.125</v>
      </c>
      <c r="D44">
        <v>0.375</v>
      </c>
      <c r="E44">
        <v>0.25</v>
      </c>
      <c r="F44">
        <v>0.5</v>
      </c>
      <c r="G44">
        <v>0.44374999999999998</v>
      </c>
    </row>
    <row r="45" spans="1:7" x14ac:dyDescent="0.15">
      <c r="A45" t="str">
        <f>HYPERLINK("./new_k5/query_cmdrels_weight_analyze/0.1_0.3_0.6/au_164473.xlsx","au_164473")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HYPERLINK("./new_k5/query_cmdrels_weight_analyze/0.1_0.3_0.6/au_16584.xlsx","au_16584")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9.0909090909090912E-2</v>
      </c>
      <c r="F46">
        <v>0.13636363636363641</v>
      </c>
      <c r="G46">
        <v>9.0909090909090912E-2</v>
      </c>
    </row>
    <row r="47" spans="1:7" x14ac:dyDescent="0.15">
      <c r="A47" t="str">
        <f>HYPERLINK("./new_k5/query_cmdrels_weight_analyze/0.1_0.3_0.6/au_166420.xlsx","au_166420")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HYPERLINK("./new_k5/query_cmdrels_weight_analyze/0.1_0.3_0.6/au_169473.xlsx","au_169473")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0.33333333333333331</v>
      </c>
      <c r="F48">
        <v>0.43333333333333329</v>
      </c>
      <c r="G48">
        <v>0.33333333333333331</v>
      </c>
    </row>
    <row r="49" spans="1:7" x14ac:dyDescent="0.15">
      <c r="A49" t="str">
        <f>HYPERLINK("./new_k5/query_cmdrels_weight_analyze/0.1_0.3_0.6/au_169516.xlsx","au_169516")</f>
        <v>au_169516</v>
      </c>
      <c r="B49">
        <v>0.25</v>
      </c>
      <c r="C49">
        <v>0.25</v>
      </c>
      <c r="D49">
        <v>0.25</v>
      </c>
      <c r="E49">
        <v>0.5</v>
      </c>
      <c r="F49">
        <v>0.25</v>
      </c>
      <c r="G49">
        <v>0.5</v>
      </c>
    </row>
    <row r="50" spans="1:7" x14ac:dyDescent="0.15">
      <c r="A50" t="str">
        <f>HYPERLINK("./new_k5/query_cmdrels_weight_analyze/0.1_0.3_0.6/au_174292.xlsx","au_174292")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HYPERLINK("./new_k5/query_cmdrels_weight_analyze/0.1_0.3_0.6/au_178481.xlsx","au_178481")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HYPERLINK("./new_k5/query_cmdrels_weight_analyze/0.1_0.3_0.6/au_180925.xlsx","au_180925")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HYPERLINK("./new_k5/query_cmdrels_weight_analyze/0.1_0.3_0.6/au_187888.xlsx","au_187888")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HYPERLINK("./new_k5/query_cmdrels_weight_analyze/0.1_0.3_0.6/au_191390.xlsx","au_191390")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HYPERLINK("./new_k5/query_cmdrels_weight_analyze/0.1_0.3_0.6/au_192798.xlsx","au_192798")</f>
        <v>au_192798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15">
      <c r="A56" t="str">
        <f>HYPERLINK("./new_k5/query_cmdrels_weight_analyze/0.1_0.3_0.6/au_201775.xlsx","au_201775")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0.55555555555555547</v>
      </c>
      <c r="F56">
        <v>0.66666666666666663</v>
      </c>
      <c r="G56">
        <v>0.75555555555555554</v>
      </c>
    </row>
    <row r="57" spans="1:7" x14ac:dyDescent="0.15">
      <c r="A57" t="str">
        <f>HYPERLINK("./new_k5/query_cmdrels_weight_analyze/0.1_0.3_0.6/au_204166.xlsx","au_204166")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HYPERLINK("./new_k5/query_cmdrels_weight_analyze/0.1_0.3_0.6/au_207447.xlsx","au_207447")</f>
        <v>au_207447</v>
      </c>
      <c r="B58">
        <v>0.33333333333333331</v>
      </c>
      <c r="C58">
        <v>0.33333333333333331</v>
      </c>
      <c r="D58">
        <v>0.33333333333333331</v>
      </c>
      <c r="E58">
        <v>0.33333333333333331</v>
      </c>
      <c r="F58">
        <v>0.33333333333333331</v>
      </c>
      <c r="G58">
        <v>0.46666666666666662</v>
      </c>
    </row>
    <row r="59" spans="1:7" x14ac:dyDescent="0.15">
      <c r="A59" t="str">
        <f>HYPERLINK("./new_k5/query_cmdrels_weight_analyze/0.1_0.3_0.6/au_210680.xlsx","au_210680")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HYPERLINK("./new_k5/query_cmdrels_weight_analyze/0.1_0.3_0.6/au_214246.xlsx","au_214246")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0.52</v>
      </c>
    </row>
    <row r="61" spans="1:7" x14ac:dyDescent="0.15">
      <c r="A61" t="str">
        <f>HYPERLINK("./new_k5/query_cmdrels_weight_analyze/0.1_0.3_0.6/au_214643.xlsx","au_214643")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HYPERLINK("./new_k5/query_cmdrels_weight_analyze/0.1_0.3_0.6/au_2194.xlsx","au_2194")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HYPERLINK("./new_k5/query_cmdrels_weight_analyze/0.1_0.3_0.6/au_221962.xlsx","au_221962")</f>
        <v>au_221962</v>
      </c>
      <c r="B63">
        <v>0</v>
      </c>
      <c r="C63">
        <v>0</v>
      </c>
      <c r="D63">
        <v>5.5555555555555552E-2</v>
      </c>
      <c r="E63">
        <v>8.3333333333333329E-2</v>
      </c>
      <c r="F63">
        <v>0.1388888888888889</v>
      </c>
      <c r="G63">
        <v>0.26666666666666672</v>
      </c>
    </row>
    <row r="64" spans="1:7" x14ac:dyDescent="0.15">
      <c r="A64" t="str">
        <f>HYPERLINK("./new_k5/query_cmdrels_weight_analyze/0.1_0.3_0.6/au_22608.xlsx","au_22608")</f>
        <v>au_22608</v>
      </c>
      <c r="B64">
        <v>0.33333333333333331</v>
      </c>
      <c r="C64">
        <v>0.33333333333333331</v>
      </c>
      <c r="D64">
        <v>0.33333333333333331</v>
      </c>
      <c r="E64">
        <v>0.33333333333333331</v>
      </c>
      <c r="F64">
        <v>0.33333333333333331</v>
      </c>
      <c r="G64">
        <v>0.5</v>
      </c>
    </row>
    <row r="65" spans="1:7" x14ac:dyDescent="0.15">
      <c r="A65" t="str">
        <f>HYPERLINK("./new_k5/query_cmdrels_weight_analyze/0.1_0.3_0.6/au_230698.xlsx","au_230698")</f>
        <v>au_230698</v>
      </c>
      <c r="B65">
        <v>0.125</v>
      </c>
      <c r="C65">
        <v>0.125</v>
      </c>
      <c r="D65">
        <v>0.25</v>
      </c>
      <c r="E65">
        <v>0.25</v>
      </c>
      <c r="F65">
        <v>0.32500000000000001</v>
      </c>
      <c r="G65">
        <v>0.34375</v>
      </c>
    </row>
    <row r="66" spans="1:7" x14ac:dyDescent="0.15">
      <c r="A66" t="str">
        <f>HYPERLINK("./new_k5/query_cmdrels_weight_analyze/0.1_0.3_0.6/au_232442.xlsx","au_232442")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HYPERLINK("./new_k5/query_cmdrels_weight_analyze/0.1_0.3_0.6/au_233378.xlsx","au_233378")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HYPERLINK("./new_k5/query_cmdrels_weight_analyze/0.1_0.3_0.6/au_24027.xlsx","au_24027")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HYPERLINK("./new_k5/query_cmdrels_weight_analyze/0.1_0.3_0.6/au_246647.xlsx","au_246647")</f>
        <v>au_246647</v>
      </c>
      <c r="B69">
        <v>0.125</v>
      </c>
      <c r="C69">
        <v>0.125</v>
      </c>
      <c r="D69">
        <v>0.375</v>
      </c>
      <c r="E69">
        <v>0.25</v>
      </c>
      <c r="F69">
        <v>0.47499999999999998</v>
      </c>
      <c r="G69">
        <v>0.32500000000000001</v>
      </c>
    </row>
    <row r="70" spans="1:7" x14ac:dyDescent="0.15">
      <c r="A70" t="str">
        <f>HYPERLINK("./new_k5/query_cmdrels_weight_analyze/0.1_0.3_0.6/au_254424.xlsx","au_254424")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HYPERLINK("./new_k5/query_cmdrels_weight_analyze/0.1_0.3_0.6/au_255890.xlsx","au_255890")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HYPERLINK("./new_k5/query_cmdrels_weight_analyze/0.1_0.3_0.6/au_257248.xlsx","au_257248")</f>
        <v>au_257248</v>
      </c>
      <c r="B72">
        <v>0</v>
      </c>
      <c r="C72">
        <v>0</v>
      </c>
      <c r="D72">
        <v>0.16666666666666671</v>
      </c>
      <c r="E72">
        <v>7.1428571428571425E-2</v>
      </c>
      <c r="F72">
        <v>0.25238095238095237</v>
      </c>
      <c r="G72">
        <v>0.12857142857142859</v>
      </c>
    </row>
    <row r="73" spans="1:7" x14ac:dyDescent="0.15">
      <c r="A73" t="str">
        <f>HYPERLINK("./new_k5/query_cmdrels_weight_analyze/0.1_0.3_0.6/au_259354.xlsx","au_259354")</f>
        <v>au_259354</v>
      </c>
      <c r="B73">
        <v>0</v>
      </c>
      <c r="C73">
        <v>0.14285714285714279</v>
      </c>
      <c r="D73">
        <v>0.16666666666666671</v>
      </c>
      <c r="E73">
        <v>0.2857142857142857</v>
      </c>
      <c r="F73">
        <v>0.27380952380952378</v>
      </c>
      <c r="G73">
        <v>0.39285714285714279</v>
      </c>
    </row>
    <row r="74" spans="1:7" x14ac:dyDescent="0.15">
      <c r="A74" t="str">
        <f>HYPERLINK("./new_k5/query_cmdrels_weight_analyze/0.1_0.3_0.6/au_263378.xlsx","au_263378")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0.625</v>
      </c>
    </row>
    <row r="75" spans="1:7" x14ac:dyDescent="0.15">
      <c r="A75" t="str">
        <f>HYPERLINK("./new_k5/query_cmdrels_weight_analyze/0.1_0.3_0.6/au_264215.xlsx","au_264215")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HYPERLINK("./new_k5/query_cmdrels_weight_analyze/0.1_0.3_0.6/au_265176.xlsx","au_265176")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HYPERLINK("./new_k5/query_cmdrels_weight_analyze/0.1_0.3_0.6/au_275704.xlsx","au_275704")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HYPERLINK("./new_k5/query_cmdrels_weight_analyze/0.1_0.3_0.6/au_276669.xlsx","au_276669")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HYPERLINK("./new_k5/query_cmdrels_weight_analyze/0.1_0.3_0.6/au_277565.xlsx","au_277565")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HYPERLINK("./new_k5/query_cmdrels_weight_analyze/0.1_0.3_0.6/au_278403.xlsx","au_278403")</f>
        <v>au_278403</v>
      </c>
      <c r="B80">
        <v>0</v>
      </c>
      <c r="C80">
        <v>0</v>
      </c>
      <c r="D80">
        <v>8.3333333333333329E-2</v>
      </c>
      <c r="E80">
        <v>8.3333333333333329E-2</v>
      </c>
      <c r="F80">
        <v>0.20833333333333329</v>
      </c>
      <c r="G80">
        <v>0.20833333333333329</v>
      </c>
    </row>
    <row r="81" spans="1:7" x14ac:dyDescent="0.15">
      <c r="A81" t="str">
        <f>HYPERLINK("./new_k5/query_cmdrels_weight_analyze/0.1_0.3_0.6/au_28039.xlsx","au_28039")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15">
      <c r="A82" t="str">
        <f>HYPERLINK("./new_k5/query_cmdrels_weight_analyze/0.1_0.3_0.6/au_281509.xlsx","au_281509")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HYPERLINK("./new_k5/query_cmdrels_weight_analyze/0.1_0.3_0.6/au_282806.xlsx","au_282806")</f>
        <v>au_282806</v>
      </c>
      <c r="B83">
        <v>0</v>
      </c>
      <c r="C83">
        <v>0.33333333333333331</v>
      </c>
      <c r="D83">
        <v>0.38888888888888878</v>
      </c>
      <c r="E83">
        <v>0.55555555555555547</v>
      </c>
      <c r="F83">
        <v>0.38888888888888878</v>
      </c>
      <c r="G83">
        <v>0.55555555555555547</v>
      </c>
    </row>
    <row r="84" spans="1:7" x14ac:dyDescent="0.15">
      <c r="A84" t="str">
        <f>HYPERLINK("./new_k5/query_cmdrels_weight_analyze/0.1_0.3_0.6/au_283559.xlsx","au_283559")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HYPERLINK("./new_k5/query_cmdrels_weight_analyze/0.1_0.3_0.6/au_285539.xlsx","au_285539")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HYPERLINK("./new_k5/query_cmdrels_weight_analyze/0.1_0.3_0.6/au_287532.xlsx","au_287532")</f>
        <v>au_287532</v>
      </c>
      <c r="B86">
        <v>0</v>
      </c>
      <c r="C86">
        <v>0.25</v>
      </c>
      <c r="D86">
        <v>0</v>
      </c>
      <c r="E86">
        <v>0.25</v>
      </c>
      <c r="F86">
        <v>0</v>
      </c>
      <c r="G86">
        <v>0.35</v>
      </c>
    </row>
    <row r="87" spans="1:7" x14ac:dyDescent="0.15">
      <c r="A87" t="str">
        <f>HYPERLINK("./new_k5/query_cmdrels_weight_analyze/0.1_0.3_0.6/au_294257.xlsx","au_294257")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0.42857142857142849</v>
      </c>
      <c r="F87">
        <v>0.7142857142857143</v>
      </c>
      <c r="G87">
        <v>0.54285714285714282</v>
      </c>
    </row>
    <row r="88" spans="1:7" x14ac:dyDescent="0.15">
      <c r="A88" t="str">
        <f>HYPERLINK("./new_k5/query_cmdrels_weight_analyze/0.1_0.3_0.6/au_296155.xlsx","au_296155")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HYPERLINK("./new_k5/query_cmdrels_weight_analyze/0.1_0.3_0.6/au_299975.xlsx","au_299975")</f>
        <v>au_299975</v>
      </c>
      <c r="B89">
        <v>0.25</v>
      </c>
      <c r="C89">
        <v>0</v>
      </c>
      <c r="D89">
        <v>0.5</v>
      </c>
      <c r="E89">
        <v>0.125</v>
      </c>
      <c r="F89">
        <v>0.6875</v>
      </c>
      <c r="G89">
        <v>0.125</v>
      </c>
    </row>
    <row r="90" spans="1:7" x14ac:dyDescent="0.15">
      <c r="A90" t="str">
        <f>HYPERLINK("./new_k5/query_cmdrels_weight_analyze/0.1_0.3_0.6/au_301096.xlsx","au_301096")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HYPERLINK("./new_k5/query_cmdrels_weight_analyze/0.1_0.3_0.6/au_303593.xlsx","au_303593")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HYPERLINK("./new_k5/query_cmdrels_weight_analyze/0.1_0.3_0.6/au_303849.xlsx","au_303849")</f>
        <v>au_303849</v>
      </c>
      <c r="B92">
        <v>0.1111111111111111</v>
      </c>
      <c r="C92">
        <v>0</v>
      </c>
      <c r="D92">
        <v>0.1111111111111111</v>
      </c>
      <c r="E92">
        <v>3.7037037037037028E-2</v>
      </c>
      <c r="F92">
        <v>0.1111111111111111</v>
      </c>
      <c r="G92">
        <v>9.2592592592592587E-2</v>
      </c>
    </row>
    <row r="93" spans="1:7" x14ac:dyDescent="0.15">
      <c r="A93" t="str">
        <f>HYPERLINK("./new_k5/query_cmdrels_weight_analyze/0.1_0.3_0.6/au_307541.xlsx","au_307541")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HYPERLINK("./new_k5/query_cmdrels_weight_analyze/0.1_0.3_0.6/au_307688.xlsx","au_307688")</f>
        <v>au_307688</v>
      </c>
      <c r="B94">
        <v>0.2</v>
      </c>
      <c r="C94">
        <v>0.2</v>
      </c>
      <c r="D94">
        <v>0.33333333333333331</v>
      </c>
      <c r="E94">
        <v>0.33333333333333331</v>
      </c>
      <c r="F94">
        <v>0.33333333333333331</v>
      </c>
      <c r="G94">
        <v>0.33333333333333331</v>
      </c>
    </row>
    <row r="95" spans="1:7" x14ac:dyDescent="0.15">
      <c r="A95" t="str">
        <f>HYPERLINK("./new_k5/query_cmdrels_weight_analyze/0.1_0.3_0.6/au_309047.xlsx","au_309047")</f>
        <v>au_309047</v>
      </c>
      <c r="B95">
        <v>0.25</v>
      </c>
      <c r="C95">
        <v>0.25</v>
      </c>
      <c r="D95">
        <v>0.25</v>
      </c>
      <c r="E95">
        <v>0.5</v>
      </c>
      <c r="F95">
        <v>0.25</v>
      </c>
      <c r="G95">
        <v>0.5</v>
      </c>
    </row>
    <row r="96" spans="1:7" x14ac:dyDescent="0.15">
      <c r="A96" t="str">
        <f>HYPERLINK("./new_k5/query_cmdrels_weight_analyze/0.1_0.3_0.6/au_311558.xlsx","au_311558")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0.56666666666666665</v>
      </c>
    </row>
    <row r="97" spans="1:7" x14ac:dyDescent="0.15">
      <c r="A97" t="str">
        <f>HYPERLINK("./new_k5/query_cmdrels_weight_analyze/0.1_0.3_0.6/au_318973.xlsx","au_318973")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HYPERLINK("./new_k5/query_cmdrels_weight_analyze/0.1_0.3_0.6/au_3205.xlsx","au_3205")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HYPERLINK("./new_k5/query_cmdrels_weight_analyze/0.1_0.3_0.6/au_323131.xlsx","au_323131")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HYPERLINK("./new_k5/query_cmdrels_weight_analyze/0.1_0.3_0.6/au_323392.xlsx","au_323392")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0.47499999999999998</v>
      </c>
    </row>
    <row r="101" spans="1:7" x14ac:dyDescent="0.15">
      <c r="A101" t="str">
        <f>HYPERLINK("./new_k5/query_cmdrels_weight_analyze/0.1_0.3_0.6/au_325368.xlsx","au_325368")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HYPERLINK("./new_k5/query_cmdrels_weight_analyze/0.1_0.3_0.6/au_328162.xlsx","au_328162")</f>
        <v>au_328162</v>
      </c>
      <c r="B102">
        <v>0.33333333333333331</v>
      </c>
      <c r="C102">
        <v>0.33333333333333331</v>
      </c>
      <c r="D102">
        <v>1</v>
      </c>
      <c r="E102">
        <v>0.55555555555555547</v>
      </c>
      <c r="F102">
        <v>1</v>
      </c>
      <c r="G102">
        <v>0.80555555555555547</v>
      </c>
    </row>
    <row r="103" spans="1:7" x14ac:dyDescent="0.15">
      <c r="A103" t="str">
        <f>HYPERLINK("./new_k5/query_cmdrels_weight_analyze/0.1_0.3_0.6/au_330148.xlsx","au_330148")</f>
        <v>au_330148</v>
      </c>
      <c r="B103">
        <v>0</v>
      </c>
      <c r="C103">
        <v>0.2</v>
      </c>
      <c r="D103">
        <v>0.23333333333333331</v>
      </c>
      <c r="E103">
        <v>0.4</v>
      </c>
      <c r="F103">
        <v>0.54333333333333333</v>
      </c>
      <c r="G103">
        <v>0.4</v>
      </c>
    </row>
    <row r="104" spans="1:7" x14ac:dyDescent="0.15">
      <c r="A104" t="str">
        <f>HYPERLINK("./new_k5/query_cmdrels_weight_analyze/0.1_0.3_0.6/au_332315.xlsx","au_332315")</f>
        <v>au_332315</v>
      </c>
      <c r="B104">
        <v>0.33333333333333331</v>
      </c>
      <c r="C104">
        <v>0</v>
      </c>
      <c r="D104">
        <v>0.55555555555555547</v>
      </c>
      <c r="E104">
        <v>0.16666666666666671</v>
      </c>
      <c r="F104">
        <v>0.75555555555555554</v>
      </c>
      <c r="G104">
        <v>0.16666666666666671</v>
      </c>
    </row>
    <row r="105" spans="1:7" x14ac:dyDescent="0.15">
      <c r="A105" t="str">
        <f>HYPERLINK("./new_k5/query_cmdrels_weight_analyze/0.1_0.3_0.6/au_334081.xlsx","au_334081")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HYPERLINK("./new_k5/query_cmdrels_weight_analyze/0.1_0.3_0.6/au_34077.xlsx","au_34077")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0.5</v>
      </c>
      <c r="F106">
        <v>0.33333333333333331</v>
      </c>
      <c r="G106">
        <v>0.6333333333333333</v>
      </c>
    </row>
    <row r="107" spans="1:7" x14ac:dyDescent="0.15">
      <c r="A107" t="str">
        <f>HYPERLINK("./new_k5/query_cmdrels_weight_analyze/0.1_0.3_0.6/au_341428.xlsx","au_341428")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HYPERLINK("./new_k5/query_cmdrels_weight_analyze/0.1_0.3_0.6/au_341584.xlsx","au_341584")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HYPERLINK("./new_k5/query_cmdrels_weight_analyze/0.1_0.3_0.6/au_346864.xlsx","au_346864")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0.2857142857142857</v>
      </c>
      <c r="F109">
        <v>0.23809523809523811</v>
      </c>
      <c r="G109">
        <v>0.39285714285714279</v>
      </c>
    </row>
    <row r="110" spans="1:7" x14ac:dyDescent="0.15">
      <c r="A110" t="str">
        <f>HYPERLINK("./new_k5/query_cmdrels_weight_analyze/0.1_0.3_0.6/au_351765.xlsx","au_351765")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0.7</v>
      </c>
    </row>
    <row r="111" spans="1:7" x14ac:dyDescent="0.15">
      <c r="A111" t="str">
        <f>HYPERLINK("./new_k5/query_cmdrels_weight_analyze/0.1_0.3_0.6/au_35922.xlsx","au_35922")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HYPERLINK("./new_k5/query_cmdrels_weight_analyze/0.1_0.3_0.6/au_359856.xlsx","au_359856")</f>
        <v>au_359856</v>
      </c>
      <c r="B112">
        <v>0.25</v>
      </c>
      <c r="C112">
        <v>0.25</v>
      </c>
      <c r="D112">
        <v>0.75</v>
      </c>
      <c r="E112">
        <v>0.41666666666666657</v>
      </c>
      <c r="F112">
        <v>0.95</v>
      </c>
      <c r="G112">
        <v>0.56666666666666665</v>
      </c>
    </row>
    <row r="113" spans="1:7" x14ac:dyDescent="0.15">
      <c r="A113" t="str">
        <f>HYPERLINK("./new_k5/query_cmdrels_weight_analyze/0.1_0.3_0.6/au_360423.xlsx","au_360423")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HYPERLINK("./new_k5/query_cmdrels_weight_analyze/0.1_0.3_0.6/au_36287.xlsx","au_36287")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HYPERLINK("./new_k5/query_cmdrels_weight_analyze/0.1_0.3_0.6/au_366742.xlsx","au_366742")</f>
        <v>au_366742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0.05</v>
      </c>
    </row>
    <row r="116" spans="1:7" x14ac:dyDescent="0.15">
      <c r="A116" t="str">
        <f>HYPERLINK("./new_k5/query_cmdrels_weight_analyze/0.1_0.3_0.6/au_377937.xlsx","au_377937")</f>
        <v>au_377937</v>
      </c>
      <c r="B116">
        <v>0.25</v>
      </c>
      <c r="C116">
        <v>0.25</v>
      </c>
      <c r="D116">
        <v>0.5</v>
      </c>
      <c r="E116">
        <v>0.75</v>
      </c>
      <c r="F116">
        <v>0.5</v>
      </c>
      <c r="G116">
        <v>0.75</v>
      </c>
    </row>
    <row r="117" spans="1:7" x14ac:dyDescent="0.15">
      <c r="A117" t="str">
        <f>HYPERLINK("./new_k5/query_cmdrels_weight_analyze/0.1_0.3_0.6/au_383997.xlsx","au_383997")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0.42857142857142849</v>
      </c>
      <c r="F117">
        <v>0.2857142857142857</v>
      </c>
      <c r="G117">
        <v>0.54285714285714282</v>
      </c>
    </row>
    <row r="118" spans="1:7" x14ac:dyDescent="0.15">
      <c r="A118" t="str">
        <f>HYPERLINK("./new_k5/query_cmdrels_weight_analyze/0.1_0.3_0.6/au_3883.xlsx","au_3883")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0.35</v>
      </c>
    </row>
    <row r="119" spans="1:7" x14ac:dyDescent="0.15">
      <c r="A119" t="str">
        <f>HYPERLINK("./new_k5/query_cmdrels_weight_analyze/0.1_0.3_0.6/au_396883.xlsx","au_396883")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HYPERLINK("./new_k5/query_cmdrels_weight_analyze/0.1_0.3_0.6/au_39760.xlsx","au_39760")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HYPERLINK("./new_k5/query_cmdrels_weight_analyze/0.1_0.3_0.6/au_398818.xlsx","au_398818")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HYPERLINK("./new_k5/query_cmdrels_weight_analyze/0.1_0.3_0.6/au_400807.xlsx","au_400807")</f>
        <v>au_400807</v>
      </c>
      <c r="B122">
        <v>0</v>
      </c>
      <c r="C122">
        <v>0.33333333333333331</v>
      </c>
      <c r="D122">
        <v>0.16666666666666671</v>
      </c>
      <c r="E122">
        <v>0.55555555555555547</v>
      </c>
      <c r="F122">
        <v>0.16666666666666671</v>
      </c>
      <c r="G122">
        <v>0.80555555555555547</v>
      </c>
    </row>
    <row r="123" spans="1:7" x14ac:dyDescent="0.15">
      <c r="A123" t="str">
        <f>HYPERLINK("./new_k5/query_cmdrels_weight_analyze/0.1_0.3_0.6/au_408611.xlsx","au_408611")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HYPERLINK("./new_k5/query_cmdrels_weight_analyze/0.1_0.3_0.6/au_414737.xlsx","au_414737")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HYPERLINK("./new_k5/query_cmdrels_weight_analyze/0.1_0.3_0.6/au_420722.xlsx","au_420722")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HYPERLINK("./new_k5/query_cmdrels_weight_analyze/0.1_0.3_0.6/au_423942.xlsx","au_423942")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HYPERLINK("./new_k5/query_cmdrels_weight_analyze/0.1_0.3_0.6/au_430382.xlsx","au_430382")</f>
        <v>au_430382</v>
      </c>
      <c r="B127">
        <v>0</v>
      </c>
      <c r="C127">
        <v>0.25</v>
      </c>
      <c r="D127">
        <v>0.29166666666666657</v>
      </c>
      <c r="E127">
        <v>0.5</v>
      </c>
      <c r="F127">
        <v>0.29166666666666657</v>
      </c>
      <c r="G127">
        <v>0.5</v>
      </c>
    </row>
    <row r="128" spans="1:7" x14ac:dyDescent="0.15">
      <c r="A128" t="str">
        <f>HYPERLINK("./new_k5/query_cmdrels_weight_analyze/0.1_0.3_0.6/au_432836.xlsx","au_432836")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0.14285714285714279</v>
      </c>
      <c r="F128">
        <v>0.2142857142857143</v>
      </c>
      <c r="G128">
        <v>0.14285714285714279</v>
      </c>
    </row>
    <row r="129" spans="1:7" x14ac:dyDescent="0.15">
      <c r="A129" t="str">
        <f>HYPERLINK("./new_k5/query_cmdrels_weight_analyze/0.1_0.3_0.6/au_440326.xlsx","au_440326")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HYPERLINK("./new_k5/query_cmdrels_weight_analyze/0.1_0.3_0.6/au_442914.xlsx","au_442914")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HYPERLINK("./new_k5/query_cmdrels_weight_analyze/0.1_0.3_0.6/au_443227.xlsx","au_443227")</f>
        <v>au_443227</v>
      </c>
      <c r="B131">
        <v>0.5</v>
      </c>
      <c r="C131">
        <v>0</v>
      </c>
      <c r="D131">
        <v>0.5</v>
      </c>
      <c r="E131">
        <v>0</v>
      </c>
      <c r="F131">
        <v>0.5</v>
      </c>
      <c r="G131">
        <v>0</v>
      </c>
    </row>
    <row r="132" spans="1:7" x14ac:dyDescent="0.15">
      <c r="A132" t="str">
        <f>HYPERLINK("./new_k5/query_cmdrels_weight_analyze/0.1_0.3_0.6/au_44534.xlsx","au_44534")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0.3666666666666667</v>
      </c>
    </row>
    <row r="133" spans="1:7" x14ac:dyDescent="0.15">
      <c r="A133" t="str">
        <f>HYPERLINK("./new_k5/query_cmdrels_weight_analyze/0.1_0.3_0.6/au_451805.xlsx","au_451805")</f>
        <v>au_451805</v>
      </c>
      <c r="B133">
        <v>0.33333333333333331</v>
      </c>
      <c r="C133">
        <v>0.33333333333333331</v>
      </c>
      <c r="D133">
        <v>0.33333333333333331</v>
      </c>
      <c r="E133">
        <v>0.33333333333333331</v>
      </c>
      <c r="F133">
        <v>0.33333333333333331</v>
      </c>
      <c r="G133">
        <v>0.33333333333333331</v>
      </c>
    </row>
    <row r="134" spans="1:7" x14ac:dyDescent="0.15">
      <c r="A134" t="str">
        <f>HYPERLINK("./new_k5/query_cmdrels_weight_analyze/0.1_0.3_0.6/au_464264.xlsx","au_464264")</f>
        <v>au_464264</v>
      </c>
      <c r="B134">
        <v>0.2</v>
      </c>
      <c r="C134">
        <v>0</v>
      </c>
      <c r="D134">
        <v>0.33333333333333331</v>
      </c>
      <c r="E134">
        <v>6.6666666666666666E-2</v>
      </c>
      <c r="F134">
        <v>0.48333333333333328</v>
      </c>
      <c r="G134">
        <v>0.16666666666666671</v>
      </c>
    </row>
    <row r="135" spans="1:7" x14ac:dyDescent="0.15">
      <c r="A135" t="str">
        <f>HYPERLINK("./new_k5/query_cmdrels_weight_analyze/0.1_0.3_0.6/au_468808.xlsx","au_468808")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HYPERLINK("./new_k5/query_cmdrels_weight_analyze/0.1_0.3_0.6/au_469143.xlsx","au_469143")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0.45333333333333331</v>
      </c>
    </row>
    <row r="137" spans="1:7" x14ac:dyDescent="0.15">
      <c r="A137" t="str">
        <f>HYPERLINK("./new_k5/query_cmdrels_weight_analyze/0.1_0.3_0.6/au_470237.xlsx","au_470237")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HYPERLINK("./new_k5/query_cmdrels_weight_analyze/0.1_0.3_0.6/au_473037.xlsx","au_473037")</f>
        <v>au_473037</v>
      </c>
      <c r="B138">
        <v>0.5</v>
      </c>
      <c r="C138">
        <v>0.5</v>
      </c>
      <c r="D138">
        <v>0.83333333333333326</v>
      </c>
      <c r="E138">
        <v>0.5</v>
      </c>
      <c r="F138">
        <v>0.83333333333333326</v>
      </c>
      <c r="G138">
        <v>0.5</v>
      </c>
    </row>
    <row r="139" spans="1:7" x14ac:dyDescent="0.15">
      <c r="A139" t="str">
        <f>HYPERLINK("./new_k5/query_cmdrels_weight_analyze/0.1_0.3_0.6/au_48362.xlsx","au_48362")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HYPERLINK("./new_k5/query_cmdrels_weight_analyze/0.1_0.3_0.6/au_488435.xlsx","au_488435")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HYPERLINK("./new_k5/query_cmdrels_weight_analyze/0.1_0.3_0.6/au_493826.xlsx","au_493826")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HYPERLINK("./new_k5/query_cmdrels_weight_analyze/0.1_0.3_0.6/au_502110.xlsx","au_502110")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HYPERLINK("./new_k5/query_cmdrels_weight_analyze/0.1_0.3_0.6/au_50344.xlsx","au_50344")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HYPERLINK("./new_k5/query_cmdrels_weight_analyze/0.1_0.3_0.6/au_511467.xlsx","au_511467")</f>
        <v>au_511467</v>
      </c>
      <c r="B144">
        <v>0</v>
      </c>
      <c r="C144">
        <v>0</v>
      </c>
      <c r="D144">
        <v>0.19444444444444439</v>
      </c>
      <c r="E144">
        <v>8.3333333333333329E-2</v>
      </c>
      <c r="F144">
        <v>0.19444444444444439</v>
      </c>
      <c r="G144">
        <v>8.3333333333333329E-2</v>
      </c>
    </row>
    <row r="145" spans="1:7" x14ac:dyDescent="0.15">
      <c r="A145" t="str">
        <f>HYPERLINK("./new_k5/query_cmdrels_weight_analyze/0.1_0.3_0.6/au_513046.xlsx","au_513046")</f>
        <v>au_513046</v>
      </c>
      <c r="B145">
        <v>0.25</v>
      </c>
      <c r="C145">
        <v>0</v>
      </c>
      <c r="D145">
        <v>0.5</v>
      </c>
      <c r="E145">
        <v>0.29166666666666657</v>
      </c>
      <c r="F145">
        <v>0.5</v>
      </c>
      <c r="G145">
        <v>0.29166666666666657</v>
      </c>
    </row>
    <row r="146" spans="1:7" x14ac:dyDescent="0.15">
      <c r="A146" t="str">
        <f>HYPERLINK("./new_k5/query_cmdrels_weight_analyze/0.1_0.3_0.6/au_517354.xlsx","au_517354")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0.2857142857142857</v>
      </c>
      <c r="F146">
        <v>0.2142857142857143</v>
      </c>
      <c r="G146">
        <v>0.39285714285714279</v>
      </c>
    </row>
    <row r="147" spans="1:7" x14ac:dyDescent="0.15">
      <c r="A147" t="str">
        <f>HYPERLINK("./new_k5/query_cmdrels_weight_analyze/0.1_0.3_0.6/au_522431.xlsx","au_522431")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0.3833333333333333</v>
      </c>
    </row>
    <row r="148" spans="1:7" x14ac:dyDescent="0.15">
      <c r="A148" t="str">
        <f>HYPERLINK("./new_k5/query_cmdrels_weight_analyze/0.1_0.3_0.6/au_52773.xlsx","au_52773")</f>
        <v>au_52773</v>
      </c>
      <c r="B148">
        <v>0</v>
      </c>
      <c r="C148">
        <v>0</v>
      </c>
      <c r="D148">
        <v>0.23333333333333331</v>
      </c>
      <c r="E148">
        <v>0</v>
      </c>
      <c r="F148">
        <v>0.23333333333333331</v>
      </c>
      <c r="G148">
        <v>0.05</v>
      </c>
    </row>
    <row r="149" spans="1:7" x14ac:dyDescent="0.15">
      <c r="A149" t="str">
        <f>HYPERLINK("./new_k5/query_cmdrels_weight_analyze/0.1_0.3_0.6/au_528411.xlsx","au_528411")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HYPERLINK("./new_k5/query_cmdrels_weight_analyze/0.1_0.3_0.6/au_53263.xlsx","au_53263")</f>
        <v>au_53263</v>
      </c>
      <c r="B150">
        <v>0.25</v>
      </c>
      <c r="C150">
        <v>0.25</v>
      </c>
      <c r="D150">
        <v>0.75</v>
      </c>
      <c r="E150">
        <v>0.75</v>
      </c>
      <c r="F150">
        <v>0.75</v>
      </c>
      <c r="G150">
        <v>0.75</v>
      </c>
    </row>
    <row r="151" spans="1:7" x14ac:dyDescent="0.15">
      <c r="A151" t="str">
        <f>HYPERLINK("./new_k5/query_cmdrels_weight_analyze/0.1_0.3_0.6/au_53444.xlsx","au_53444")</f>
        <v>au_53444</v>
      </c>
      <c r="B151">
        <v>0.5</v>
      </c>
      <c r="C151">
        <v>0</v>
      </c>
      <c r="D151">
        <v>0.5</v>
      </c>
      <c r="E151">
        <v>0</v>
      </c>
      <c r="F151">
        <v>0.5</v>
      </c>
      <c r="G151">
        <v>0</v>
      </c>
    </row>
    <row r="152" spans="1:7" x14ac:dyDescent="0.15">
      <c r="A152" t="str">
        <f>HYPERLINK("./new_k5/query_cmdrels_weight_analyze/0.1_0.3_0.6/au_538208.xlsx","au_538208")</f>
        <v>au_538208</v>
      </c>
      <c r="B152">
        <v>0.125</v>
      </c>
      <c r="C152">
        <v>0.125</v>
      </c>
      <c r="D152">
        <v>0.375</v>
      </c>
      <c r="E152">
        <v>0.375</v>
      </c>
      <c r="F152">
        <v>0.5</v>
      </c>
      <c r="G152">
        <v>0.47499999999999998</v>
      </c>
    </row>
    <row r="153" spans="1:7" x14ac:dyDescent="0.15">
      <c r="A153" t="str">
        <f>HYPERLINK("./new_k5/query_cmdrels_weight_analyze/0.1_0.3_0.6/au_53822.xlsx","au_53822")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HYPERLINK("./new_k5/query_cmdrels_weight_analyze/0.1_0.3_0.6/au_539243.xlsx","au_539243")</f>
        <v>au_539243</v>
      </c>
      <c r="B154">
        <v>0.33333333333333331</v>
      </c>
      <c r="C154">
        <v>0.33333333333333331</v>
      </c>
      <c r="D154">
        <v>0.66666666666666663</v>
      </c>
      <c r="E154">
        <v>0.33333333333333331</v>
      </c>
      <c r="F154">
        <v>0.66666666666666663</v>
      </c>
      <c r="G154">
        <v>0.5</v>
      </c>
    </row>
    <row r="155" spans="1:7" x14ac:dyDescent="0.15">
      <c r="A155" t="str">
        <f>HYPERLINK("./new_k5/query_cmdrels_weight_analyze/0.1_0.3_0.6/au_558280.xlsx","au_558280")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HYPERLINK("./new_k5/query_cmdrels_weight_analyze/0.1_0.3_0.6/au_558669.xlsx","au_558669")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HYPERLINK("./new_k5/query_cmdrels_weight_analyze/0.1_0.3_0.6/au_55868.xlsx","au_55868")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HYPERLINK("./new_k5/query_cmdrels_weight_analyze/0.1_0.3_0.6/au_561.xlsx","au_561")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0.5</v>
      </c>
    </row>
    <row r="159" spans="1:7" x14ac:dyDescent="0.15">
      <c r="A159" t="str">
        <f>HYPERLINK("./new_k5/query_cmdrels_weight_analyze/0.1_0.3_0.6/au_564567.xlsx","au_564567")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HYPERLINK("./new_k5/query_cmdrels_weight_analyze/0.1_0.3_0.6/au_57994.xlsx","au_57994")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0.23809523809523811</v>
      </c>
      <c r="F160">
        <v>0.5714285714285714</v>
      </c>
      <c r="G160">
        <v>0.45952380952380961</v>
      </c>
    </row>
    <row r="161" spans="1:7" x14ac:dyDescent="0.15">
      <c r="A161" t="str">
        <f>HYPERLINK("./new_k5/query_cmdrels_weight_analyze/0.1_0.3_0.6/au_589210.xlsx","au_589210")</f>
        <v>au_589210</v>
      </c>
      <c r="B161">
        <v>0.25</v>
      </c>
      <c r="C161">
        <v>0.25</v>
      </c>
      <c r="D161">
        <v>0.5</v>
      </c>
      <c r="E161">
        <v>0.41666666666666657</v>
      </c>
      <c r="F161">
        <v>0.5</v>
      </c>
      <c r="G161">
        <v>0.41666666666666657</v>
      </c>
    </row>
    <row r="162" spans="1:7" x14ac:dyDescent="0.15">
      <c r="A162" t="str">
        <f>HYPERLINK("./new_k5/query_cmdrels_weight_analyze/0.1_0.3_0.6/au_5911.xlsx","au_5911")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HYPERLINK("./new_k5/query_cmdrels_weight_analyze/0.1_0.3_0.6/au_59356.xlsx","au_59356")</f>
        <v>au_59356</v>
      </c>
      <c r="B163">
        <v>0</v>
      </c>
      <c r="C163">
        <v>0</v>
      </c>
      <c r="D163">
        <v>0.16666666666666671</v>
      </c>
      <c r="E163">
        <v>0.25</v>
      </c>
      <c r="F163">
        <v>0.16666666666666671</v>
      </c>
      <c r="G163">
        <v>0.25</v>
      </c>
    </row>
    <row r="164" spans="1:7" x14ac:dyDescent="0.15">
      <c r="A164" t="str">
        <f>HYPERLINK("./new_k5/query_cmdrels_weight_analyze/0.1_0.3_0.6/au_609850.xlsx","au_609850")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HYPERLINK("./new_k5/query_cmdrels_weight_analyze/0.1_0.3_0.6/au_61408.xlsx","au_61408")</f>
        <v>au_61408</v>
      </c>
      <c r="B165">
        <v>0</v>
      </c>
      <c r="C165">
        <v>0.33333333333333331</v>
      </c>
      <c r="D165">
        <v>0.16666666666666671</v>
      </c>
      <c r="E165">
        <v>0.55555555555555547</v>
      </c>
      <c r="F165">
        <v>0.16666666666666671</v>
      </c>
      <c r="G165">
        <v>0.55555555555555547</v>
      </c>
    </row>
    <row r="166" spans="1:7" x14ac:dyDescent="0.15">
      <c r="A166" t="str">
        <f>HYPERLINK("./new_k5/query_cmdrels_weight_analyze/0.1_0.3_0.6/au_617850.xlsx","au_617850")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HYPERLINK("./new_k5/query_cmdrels_weight_analyze/0.1_0.3_0.6/au_62073.xlsx","au_62073")</f>
        <v>au_62073</v>
      </c>
      <c r="B167">
        <v>0</v>
      </c>
      <c r="C167">
        <v>0.2</v>
      </c>
      <c r="D167">
        <v>0.23333333333333331</v>
      </c>
      <c r="E167">
        <v>0.33333333333333331</v>
      </c>
      <c r="F167">
        <v>0.23333333333333331</v>
      </c>
      <c r="G167">
        <v>0.45333333333333331</v>
      </c>
    </row>
    <row r="168" spans="1:7" x14ac:dyDescent="0.15">
      <c r="A168" t="str">
        <f>HYPERLINK("./new_k5/query_cmdrels_weight_analyze/0.1_0.3_0.6/au_620930.xlsx","au_620930")</f>
        <v>au_620930</v>
      </c>
      <c r="B168">
        <v>0.2</v>
      </c>
      <c r="C168">
        <v>0.2</v>
      </c>
      <c r="D168">
        <v>0.4</v>
      </c>
      <c r="E168">
        <v>0.4</v>
      </c>
      <c r="F168">
        <v>0.4</v>
      </c>
      <c r="G168">
        <v>0.55000000000000004</v>
      </c>
    </row>
    <row r="169" spans="1:7" x14ac:dyDescent="0.15">
      <c r="A169" t="str">
        <f>HYPERLINK("./new_k5/query_cmdrels_weight_analyze/0.1_0.3_0.6/au_62492.xlsx","au_62492")</f>
        <v>au_62492</v>
      </c>
      <c r="B169">
        <v>0.2</v>
      </c>
      <c r="C169">
        <v>0.2</v>
      </c>
      <c r="D169">
        <v>0.33333333333333331</v>
      </c>
      <c r="E169">
        <v>0.4</v>
      </c>
      <c r="F169">
        <v>0.48333333333333328</v>
      </c>
      <c r="G169">
        <v>0.71</v>
      </c>
    </row>
    <row r="170" spans="1:7" x14ac:dyDescent="0.15">
      <c r="A170" t="str">
        <f>HYPERLINK("./new_k5/query_cmdrels_weight_analyze/0.1_0.3_0.6/au_626078.xlsx","au_626078")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HYPERLINK("./new_k5/query_cmdrels_weight_analyze/0.1_0.3_0.6/au_636944.xlsx","au_636944")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HYPERLINK("./new_k5/query_cmdrels_weight_analyze/0.1_0.3_0.6/au_648603.xlsx","au_648603")</f>
        <v>au_648603</v>
      </c>
      <c r="B172">
        <v>0.25</v>
      </c>
      <c r="C172">
        <v>0.25</v>
      </c>
      <c r="D172">
        <v>0.25</v>
      </c>
      <c r="E172">
        <v>0.41666666666666657</v>
      </c>
      <c r="F172">
        <v>0.25</v>
      </c>
      <c r="G172">
        <v>0.56666666666666665</v>
      </c>
    </row>
    <row r="173" spans="1:7" x14ac:dyDescent="0.15">
      <c r="A173" t="str">
        <f>HYPERLINK("./new_k5/query_cmdrels_weight_analyze/0.1_0.3_0.6/au_65331.xlsx","au_65331")</f>
        <v>au_65331</v>
      </c>
      <c r="B173">
        <v>0</v>
      </c>
      <c r="C173">
        <v>0.16666666666666671</v>
      </c>
      <c r="D173">
        <v>8.3333333333333329E-2</v>
      </c>
      <c r="E173">
        <v>0.33333333333333331</v>
      </c>
      <c r="F173">
        <v>0.16666666666666671</v>
      </c>
      <c r="G173">
        <v>0.45833333333333331</v>
      </c>
    </row>
    <row r="174" spans="1:7" x14ac:dyDescent="0.15">
      <c r="A174" t="str">
        <f>HYPERLINK("./new_k5/query_cmdrels_weight_analyze/0.1_0.3_0.6/au_66000.xlsx","au_66000")</f>
        <v>au_66000</v>
      </c>
      <c r="B174">
        <v>0</v>
      </c>
      <c r="C174">
        <v>0.2</v>
      </c>
      <c r="D174">
        <v>0</v>
      </c>
      <c r="E174">
        <v>0.2</v>
      </c>
      <c r="F174">
        <v>0</v>
      </c>
      <c r="G174">
        <v>0.42</v>
      </c>
    </row>
    <row r="175" spans="1:7" x14ac:dyDescent="0.15">
      <c r="A175" t="str">
        <f>HYPERLINK("./new_k5/query_cmdrels_weight_analyze/0.1_0.3_0.6/au_660846.xlsx","au_660846")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HYPERLINK("./new_k5/query_cmdrels_weight_analyze/0.1_0.3_0.6/au_662935.xlsx","au_662935")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0.25</v>
      </c>
    </row>
    <row r="177" spans="1:7" x14ac:dyDescent="0.15">
      <c r="A177" t="str">
        <f>HYPERLINK("./new_k5/query_cmdrels_weight_analyze/0.1_0.3_0.6/au_67663.xlsx","au_67663")</f>
        <v>au_67663</v>
      </c>
      <c r="B177">
        <v>0</v>
      </c>
      <c r="C177">
        <v>0.25</v>
      </c>
      <c r="D177">
        <v>0.29166666666666657</v>
      </c>
      <c r="E177">
        <v>0.5</v>
      </c>
      <c r="F177">
        <v>0.29166666666666657</v>
      </c>
      <c r="G177">
        <v>0.5</v>
      </c>
    </row>
    <row r="178" spans="1:7" x14ac:dyDescent="0.15">
      <c r="A178" t="str">
        <f>HYPERLINK("./new_k5/query_cmdrels_weight_analyze/0.1_0.3_0.6/au_68028.xlsx","au_68028")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0.42857142857142849</v>
      </c>
      <c r="F178">
        <v>0.37142857142857139</v>
      </c>
      <c r="G178">
        <v>0.42857142857142849</v>
      </c>
    </row>
    <row r="179" spans="1:7" x14ac:dyDescent="0.15">
      <c r="A179" t="str">
        <f>HYPERLINK("./new_k5/query_cmdrels_weight_analyze/0.1_0.3_0.6/au_681312.xlsx","au_681312")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0.42857142857142849</v>
      </c>
      <c r="F179">
        <v>0.42857142857142849</v>
      </c>
      <c r="G179">
        <v>0.5714285714285714</v>
      </c>
    </row>
    <row r="180" spans="1:7" x14ac:dyDescent="0.15">
      <c r="A180" t="str">
        <f>HYPERLINK("./new_k5/query_cmdrels_weight_analyze/0.1_0.3_0.6/au_686239.xlsx","au_686239")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HYPERLINK("./new_k5/query_cmdrels_weight_analyze/0.1_0.3_0.6/au_68809.xlsx","au_68809")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0.20833333333333329</v>
      </c>
    </row>
    <row r="182" spans="1:7" x14ac:dyDescent="0.15">
      <c r="A182" t="str">
        <f>HYPERLINK("./new_k5/query_cmdrels_weight_analyze/0.1_0.3_0.6/au_69556.xlsx","au_69556")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HYPERLINK("./new_k5/query_cmdrels_weight_analyze/0.1_0.3_0.6/au_698993.xlsx","au_698993")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HYPERLINK("./new_k5/query_cmdrels_weight_analyze/0.1_0.3_0.6/au_707881.xlsx","au_707881")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HYPERLINK("./new_k5/query_cmdrels_weight_analyze/0.1_0.3_0.6/au_709594.xlsx","au_709594")</f>
        <v>au_709594</v>
      </c>
      <c r="B185">
        <v>0.33333333333333331</v>
      </c>
      <c r="C185">
        <v>0.33333333333333331</v>
      </c>
      <c r="D185">
        <v>0.66666666666666663</v>
      </c>
      <c r="E185">
        <v>0.55555555555555547</v>
      </c>
      <c r="F185">
        <v>0.91666666666666663</v>
      </c>
      <c r="G185">
        <v>0.55555555555555547</v>
      </c>
    </row>
    <row r="186" spans="1:7" x14ac:dyDescent="0.15">
      <c r="A186" t="str">
        <f>HYPERLINK("./new_k5/query_cmdrels_weight_analyze/0.1_0.3_0.6/au_71309.xlsx","au_71309")</f>
        <v>au_71309</v>
      </c>
      <c r="B186">
        <v>0.125</v>
      </c>
      <c r="C186">
        <v>0.125</v>
      </c>
      <c r="D186">
        <v>0.20833333333333329</v>
      </c>
      <c r="E186">
        <v>0.20833333333333329</v>
      </c>
      <c r="F186">
        <v>0.20833333333333329</v>
      </c>
      <c r="G186">
        <v>0.30208333333333331</v>
      </c>
    </row>
    <row r="187" spans="1:7" x14ac:dyDescent="0.15">
      <c r="A187" t="str">
        <f>HYPERLINK("./new_k5/query_cmdrels_weight_analyze/0.1_0.3_0.6/au_7138.xlsx","au_7138")</f>
        <v>au_7138</v>
      </c>
      <c r="B187">
        <v>0.25</v>
      </c>
      <c r="C187">
        <v>0</v>
      </c>
      <c r="D187">
        <v>0.75</v>
      </c>
      <c r="E187">
        <v>8.3333333333333329E-2</v>
      </c>
      <c r="F187">
        <v>0.75</v>
      </c>
      <c r="G187">
        <v>0.20833333333333329</v>
      </c>
    </row>
    <row r="188" spans="1:7" x14ac:dyDescent="0.15">
      <c r="A188" t="str">
        <f>HYPERLINK("./new_k5/query_cmdrels_weight_analyze/0.1_0.3_0.6/au_72549.xlsx","au_72549")</f>
        <v>au_72549</v>
      </c>
      <c r="B188">
        <v>0</v>
      </c>
      <c r="C188">
        <v>0</v>
      </c>
      <c r="D188">
        <v>0</v>
      </c>
      <c r="E188">
        <v>8.3333333333333329E-2</v>
      </c>
      <c r="F188">
        <v>0</v>
      </c>
      <c r="G188">
        <v>8.3333333333333329E-2</v>
      </c>
    </row>
    <row r="189" spans="1:7" x14ac:dyDescent="0.15">
      <c r="A189" t="str">
        <f>HYPERLINK("./new_k5/query_cmdrels_weight_analyze/0.1_0.3_0.6/au_740805.xlsx","au_740805")</f>
        <v>au_740805</v>
      </c>
      <c r="B189">
        <v>0.25</v>
      </c>
      <c r="C189">
        <v>0</v>
      </c>
      <c r="D189">
        <v>0.41666666666666657</v>
      </c>
      <c r="E189">
        <v>0.29166666666666657</v>
      </c>
      <c r="F189">
        <v>0.41666666666666657</v>
      </c>
      <c r="G189">
        <v>0.29166666666666657</v>
      </c>
    </row>
    <row r="190" spans="1:7" x14ac:dyDescent="0.15">
      <c r="A190" t="str">
        <f>HYPERLINK("./new_k5/query_cmdrels_weight_analyze/0.1_0.3_0.6/au_760796.xlsx","au_760796")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HYPERLINK("./new_k5/query_cmdrels_weight_analyze/0.1_0.3_0.6/au_762846.xlsx","au_762846")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0.43333333333333329</v>
      </c>
    </row>
    <row r="192" spans="1:7" x14ac:dyDescent="0.15">
      <c r="A192" t="str">
        <f>HYPERLINK("./new_k5/query_cmdrels_weight_analyze/0.1_0.3_0.6/au_767786.xlsx","au_767786")</f>
        <v>au_767786</v>
      </c>
      <c r="B192">
        <v>0.2</v>
      </c>
      <c r="C192">
        <v>0.2</v>
      </c>
      <c r="D192">
        <v>0.4</v>
      </c>
      <c r="E192">
        <v>0.4</v>
      </c>
      <c r="F192">
        <v>0.4</v>
      </c>
      <c r="G192">
        <v>0.4</v>
      </c>
    </row>
    <row r="193" spans="1:7" x14ac:dyDescent="0.15">
      <c r="A193" t="str">
        <f>HYPERLINK("./new_k5/query_cmdrels_weight_analyze/0.1_0.3_0.6/au_778906.xlsx","au_778906")</f>
        <v>au_778906</v>
      </c>
      <c r="B193">
        <v>0.2</v>
      </c>
      <c r="C193">
        <v>0.2</v>
      </c>
      <c r="D193">
        <v>0.33333333333333331</v>
      </c>
      <c r="E193">
        <v>0.33333333333333331</v>
      </c>
      <c r="F193">
        <v>0.33333333333333331</v>
      </c>
      <c r="G193">
        <v>0.48333333333333328</v>
      </c>
    </row>
    <row r="194" spans="1:7" x14ac:dyDescent="0.15">
      <c r="A194" t="str">
        <f>HYPERLINK("./new_k5/query_cmdrels_weight_analyze/0.1_0.3_0.6/au_818929.xlsx","au_818929")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0.28000000000000003</v>
      </c>
    </row>
    <row r="195" spans="1:7" x14ac:dyDescent="0.15">
      <c r="A195" t="str">
        <f>HYPERLINK("./new_k5/query_cmdrels_weight_analyze/0.1_0.3_0.6/au_844876.xlsx","au_844876")</f>
        <v>au_844876</v>
      </c>
      <c r="B195">
        <v>0.5</v>
      </c>
      <c r="C195">
        <v>0.5</v>
      </c>
      <c r="D195">
        <v>0.5</v>
      </c>
      <c r="E195">
        <v>0.83333333333333326</v>
      </c>
      <c r="F195">
        <v>0.5</v>
      </c>
      <c r="G195">
        <v>0.83333333333333326</v>
      </c>
    </row>
    <row r="196" spans="1:7" x14ac:dyDescent="0.15">
      <c r="A196" t="str">
        <f>HYPERLINK("./new_k5/query_cmdrels_weight_analyze/0.1_0.3_0.6/au_85318.xlsx","au_85318")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0.55000000000000004</v>
      </c>
    </row>
    <row r="197" spans="1:7" x14ac:dyDescent="0.15">
      <c r="A197" t="str">
        <f>HYPERLINK("./new_k5/query_cmdrels_weight_analyze/0.1_0.3_0.6/au_854332.xlsx","au_854332")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HYPERLINK("./new_k5/query_cmdrels_weight_analyze/0.1_0.3_0.6/au_854373.xlsx","au_854373")</f>
        <v>au_854373</v>
      </c>
      <c r="B198">
        <v>0.33333333333333331</v>
      </c>
      <c r="C198">
        <v>0</v>
      </c>
      <c r="D198">
        <v>0.55555555555555547</v>
      </c>
      <c r="E198">
        <v>0.38888888888888878</v>
      </c>
      <c r="F198">
        <v>0.80555555555555547</v>
      </c>
      <c r="G198">
        <v>0.38888888888888878</v>
      </c>
    </row>
    <row r="199" spans="1:7" x14ac:dyDescent="0.15">
      <c r="A199" t="str">
        <f>HYPERLINK("./new_k5/query_cmdrels_weight_analyze/0.1_0.3_0.6/au_86843.xlsx","au_86843")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HYPERLINK("./new_k5/query_cmdrels_weight_analyze/0.1_0.3_0.6/au_88108.xlsx","au_88108")</f>
        <v>au_88108</v>
      </c>
      <c r="B200">
        <v>0</v>
      </c>
      <c r="C200">
        <v>0</v>
      </c>
      <c r="D200">
        <v>0.1</v>
      </c>
      <c r="E200">
        <v>0</v>
      </c>
      <c r="F200">
        <v>0.1</v>
      </c>
      <c r="G200">
        <v>0.05</v>
      </c>
    </row>
    <row r="201" spans="1:7" x14ac:dyDescent="0.15">
      <c r="A201" t="str">
        <f>HYPERLINK("./new_k5/query_cmdrels_weight_analyze/0.1_0.3_0.6/au_90214.xlsx","au_90214")</f>
        <v>au_90214</v>
      </c>
      <c r="B201">
        <v>0</v>
      </c>
      <c r="C201">
        <v>0</v>
      </c>
      <c r="D201">
        <v>0.16666666666666671</v>
      </c>
      <c r="E201">
        <v>0.1111111111111111</v>
      </c>
      <c r="F201">
        <v>0.16666666666666671</v>
      </c>
      <c r="G201">
        <v>0.1111111111111111</v>
      </c>
    </row>
    <row r="202" spans="1:7" x14ac:dyDescent="0.15">
      <c r="A202" t="str">
        <f>HYPERLINK("./new_k5/query_cmdrels_weight_analyze/0.1_0.3_0.6/au_90339.xlsx","au_90339")</f>
        <v>au_90339</v>
      </c>
      <c r="B202">
        <v>0</v>
      </c>
      <c r="C202">
        <v>0</v>
      </c>
      <c r="D202">
        <v>4.7619047619047623E-2</v>
      </c>
      <c r="E202">
        <v>0.16666666666666671</v>
      </c>
      <c r="F202">
        <v>0.2047619047619047</v>
      </c>
      <c r="G202">
        <v>0.16666666666666671</v>
      </c>
    </row>
    <row r="203" spans="1:7" x14ac:dyDescent="0.15">
      <c r="A203" t="str">
        <f>HYPERLINK("./new_k5/query_cmdrels_weight_analyze/0.1_0.3_0.6/au_91286.xlsx","au_91286")</f>
        <v>au_91286</v>
      </c>
      <c r="B203">
        <v>0.5</v>
      </c>
      <c r="C203">
        <v>0</v>
      </c>
      <c r="D203">
        <v>0.5</v>
      </c>
      <c r="E203">
        <v>0.25</v>
      </c>
      <c r="F203">
        <v>0.5</v>
      </c>
      <c r="G203">
        <v>0.25</v>
      </c>
    </row>
    <row r="204" spans="1:7" x14ac:dyDescent="0.15">
      <c r="A204" t="str">
        <f>HYPERLINK("./new_k5/query_cmdrels_weight_analyze/0.1_0.3_0.6/au_9135.xlsx","au_9135")</f>
        <v>au_9135</v>
      </c>
      <c r="B204">
        <v>0.1</v>
      </c>
      <c r="C204">
        <v>0.1</v>
      </c>
      <c r="D204">
        <v>0.16666666666666671</v>
      </c>
      <c r="E204">
        <v>0.16666666666666671</v>
      </c>
      <c r="F204">
        <v>0.24166666666666661</v>
      </c>
      <c r="G204">
        <v>0.32166666666666671</v>
      </c>
    </row>
    <row r="205" spans="1:7" x14ac:dyDescent="0.15">
      <c r="A205" t="str">
        <f>HYPERLINK("./new_k5/query_cmdrels_weight_analyze/0.1_0.3_0.6/au_935569.xlsx","au_935569")</f>
        <v>au_935569</v>
      </c>
      <c r="B205">
        <v>0.14285714285714279</v>
      </c>
      <c r="C205">
        <v>0.14285714285714279</v>
      </c>
      <c r="D205">
        <v>0.42857142857142849</v>
      </c>
      <c r="E205">
        <v>0.2857142857142857</v>
      </c>
      <c r="F205">
        <v>0.54285714285714282</v>
      </c>
      <c r="G205">
        <v>0.2857142857142857</v>
      </c>
    </row>
    <row r="206" spans="1:7" x14ac:dyDescent="0.15">
      <c r="A206" t="str">
        <f>HYPERLINK("./new_k5/query_cmdrels_weight_analyze/0.1_0.3_0.6/au_97936.xlsx","au_97936")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HYPERLINK("./new_k5/query_cmdrels_weight_analyze/0.1_0.3_0.6/so_10235778.xlsx","so_10235778")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HYPERLINK("./new_k5/query_cmdrels_weight_analyze/0.1_0.3_0.6/so_1045910.xlsx","so_1045910")</f>
        <v>so_1045910</v>
      </c>
      <c r="B208">
        <v>0.25</v>
      </c>
      <c r="C208">
        <v>0.25</v>
      </c>
      <c r="D208">
        <v>0.25</v>
      </c>
      <c r="E208">
        <v>0.41666666666666657</v>
      </c>
      <c r="F208">
        <v>0.25</v>
      </c>
      <c r="G208">
        <v>0.41666666666666657</v>
      </c>
    </row>
    <row r="209" spans="1:7" x14ac:dyDescent="0.15">
      <c r="A209" t="str">
        <f>HYPERLINK("./new_k5/query_cmdrels_weight_analyze/0.1_0.3_0.6/so_10557360.xlsx","so_10557360")</f>
        <v>so_10557360</v>
      </c>
      <c r="B209">
        <v>0</v>
      </c>
      <c r="C209">
        <v>0</v>
      </c>
      <c r="D209">
        <v>0</v>
      </c>
      <c r="E209">
        <v>0.1</v>
      </c>
      <c r="F209">
        <v>0</v>
      </c>
      <c r="G209">
        <v>0.1</v>
      </c>
    </row>
    <row r="210" spans="1:7" x14ac:dyDescent="0.15">
      <c r="A210" t="str">
        <f>HYPERLINK("./new_k5/query_cmdrels_weight_analyze/0.1_0.3_0.6/so_1058047.xlsx","so_1058047")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0.35</v>
      </c>
    </row>
    <row r="211" spans="1:7" x14ac:dyDescent="0.15">
      <c r="A211" t="str">
        <f>HYPERLINK("./new_k5/query_cmdrels_weight_analyze/0.1_0.3_0.6/so_10829402.xlsx","so_10829402")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HYPERLINK("./new_k5/query_cmdrels_weight_analyze/0.1_0.3_0.6/so_1088098.xlsx","so_1088098")</f>
        <v>so_1088098</v>
      </c>
      <c r="B212">
        <v>0</v>
      </c>
      <c r="C212">
        <v>0</v>
      </c>
      <c r="D212">
        <v>0.125</v>
      </c>
      <c r="E212">
        <v>0.125</v>
      </c>
      <c r="F212">
        <v>0.125</v>
      </c>
      <c r="G212">
        <v>0.125</v>
      </c>
    </row>
    <row r="213" spans="1:7" x14ac:dyDescent="0.15">
      <c r="A213" t="str">
        <f>HYPERLINK("./new_k5/query_cmdrels_weight_analyze/0.1_0.3_0.6/so_10990949.xlsx","so_10990949")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0.7</v>
      </c>
    </row>
    <row r="214" spans="1:7" x14ac:dyDescent="0.15">
      <c r="A214" t="str">
        <f>HYPERLINK("./new_k5/query_cmdrels_weight_analyze/0.1_0.3_0.6/so_11211705.xlsx","so_11211705")</f>
        <v>so_11211705</v>
      </c>
      <c r="B214">
        <v>0</v>
      </c>
      <c r="C214">
        <v>0.25</v>
      </c>
      <c r="D214">
        <v>0</v>
      </c>
      <c r="E214">
        <v>0.25</v>
      </c>
      <c r="F214">
        <v>0.05</v>
      </c>
      <c r="G214">
        <v>0.375</v>
      </c>
    </row>
    <row r="215" spans="1:7" x14ac:dyDescent="0.15">
      <c r="A215" t="str">
        <f>HYPERLINK("./new_k5/query_cmdrels_weight_analyze/0.1_0.3_0.6/so_112932.xlsx","so_112932")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HYPERLINK("./new_k5/query_cmdrels_weight_analyze/0.1_0.3_0.6/so_11392189.xlsx","so_11392189")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8.3333333333333329E-2</v>
      </c>
    </row>
    <row r="217" spans="1:7" x14ac:dyDescent="0.15">
      <c r="A217" t="str">
        <f>HYPERLINK("./new_k5/query_cmdrels_weight_analyze/0.1_0.3_0.6/so_1183183.xlsx","so_1183183")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0.25</v>
      </c>
    </row>
    <row r="218" spans="1:7" x14ac:dyDescent="0.15">
      <c r="A218" t="str">
        <f>HYPERLINK("./new_k5/query_cmdrels_weight_analyze/0.1_0.3_0.6/so_1194882.xlsx","so_1194882")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HYPERLINK("./new_k5/query_cmdrels_weight_analyze/0.1_0.3_0.6/so_12120935.xlsx","so_12120935")</f>
        <v>so_12120935</v>
      </c>
      <c r="B219">
        <v>0.25</v>
      </c>
      <c r="C219">
        <v>0.25</v>
      </c>
      <c r="D219">
        <v>0.41666666666666657</v>
      </c>
      <c r="E219">
        <v>0.5</v>
      </c>
      <c r="F219">
        <v>0.41666666666666657</v>
      </c>
      <c r="G219">
        <v>0.6875</v>
      </c>
    </row>
    <row r="220" spans="1:7" x14ac:dyDescent="0.15">
      <c r="A220" t="str">
        <f>HYPERLINK("./new_k5/query_cmdrels_weight_analyze/0.1_0.3_0.6/so_12313384.xlsx","so_12313384")</f>
        <v>so_12313384</v>
      </c>
      <c r="B220">
        <v>0</v>
      </c>
      <c r="C220">
        <v>0.33333333333333331</v>
      </c>
      <c r="D220">
        <v>0.16666666666666671</v>
      </c>
      <c r="E220">
        <v>0.55555555555555547</v>
      </c>
      <c r="F220">
        <v>0.16666666666666671</v>
      </c>
      <c r="G220">
        <v>0.55555555555555547</v>
      </c>
    </row>
    <row r="221" spans="1:7" x14ac:dyDescent="0.15">
      <c r="A221" t="str">
        <f>HYPERLINK("./new_k5/query_cmdrels_weight_analyze/0.1_0.3_0.6/so_12392598.xlsx","so_12392598")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HYPERLINK("./new_k5/query_cmdrels_weight_analyze/0.1_0.3_0.6/so_1241801.xlsx","so_1241801")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HYPERLINK("./new_k5/query_cmdrels_weight_analyze/0.1_0.3_0.6/so_12522269.xlsx","so_12522269")</f>
        <v>so_12522269</v>
      </c>
      <c r="B223">
        <v>0.2</v>
      </c>
      <c r="C223">
        <v>0</v>
      </c>
      <c r="D223">
        <v>0.2</v>
      </c>
      <c r="E223">
        <v>0.1</v>
      </c>
      <c r="F223">
        <v>0.28000000000000003</v>
      </c>
      <c r="G223">
        <v>0.1</v>
      </c>
    </row>
    <row r="224" spans="1:7" x14ac:dyDescent="0.15">
      <c r="A224" t="str">
        <f>HYPERLINK("./new_k5/query_cmdrels_weight_analyze/0.1_0.3_0.6/so_1293907.xlsx","so_1293907")</f>
        <v>so_1293907</v>
      </c>
      <c r="B224">
        <v>0</v>
      </c>
      <c r="C224">
        <v>0.33333333333333331</v>
      </c>
      <c r="D224">
        <v>0</v>
      </c>
      <c r="E224">
        <v>0.55555555555555547</v>
      </c>
      <c r="F224">
        <v>8.3333333333333329E-2</v>
      </c>
      <c r="G224">
        <v>0.80555555555555547</v>
      </c>
    </row>
    <row r="225" spans="1:7" x14ac:dyDescent="0.15">
      <c r="A225" t="str">
        <f>HYPERLINK("./new_k5/query_cmdrels_weight_analyze/0.1_0.3_0.6/so_13428910.xlsx","so_13428910")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HYPERLINK("./new_k5/query_cmdrels_weight_analyze/0.1_0.3_0.6/so_135688.xlsx","so_135688")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HYPERLINK("./new_k5/query_cmdrels_weight_analyze/0.1_0.3_0.6/so_13778273.xlsx","so_13778273")</f>
        <v>so_13778273</v>
      </c>
      <c r="B227">
        <v>0.25</v>
      </c>
      <c r="C227">
        <v>0.25</v>
      </c>
      <c r="D227">
        <v>0.25</v>
      </c>
      <c r="E227">
        <v>0.25</v>
      </c>
      <c r="F227">
        <v>0.25</v>
      </c>
      <c r="G227">
        <v>0.35</v>
      </c>
    </row>
    <row r="228" spans="1:7" x14ac:dyDescent="0.15">
      <c r="A228" t="str">
        <f>HYPERLINK("./new_k5/query_cmdrels_weight_analyze/0.1_0.3_0.6/so_1405611.xlsx","so_1405611")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</v>
      </c>
      <c r="F228">
        <v>0.33333333333333331</v>
      </c>
      <c r="G228">
        <v>6.6666666666666666E-2</v>
      </c>
    </row>
    <row r="229" spans="1:7" x14ac:dyDescent="0.15">
      <c r="A229" t="str">
        <f>HYPERLINK("./new_k5/query_cmdrels_weight_analyze/0.1_0.3_0.6/so_14300794.xlsx","so_14300794")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0.66666666666666663</v>
      </c>
    </row>
    <row r="230" spans="1:7" x14ac:dyDescent="0.15">
      <c r="A230" t="str">
        <f>HYPERLINK("./new_k5/query_cmdrels_weight_analyze/0.1_0.3_0.6/so_143791.xlsx","so_143791")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HYPERLINK("./new_k5/query_cmdrels_weight_analyze/0.1_0.3_0.6/so_14750650.xlsx","so_14750650")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0.05</v>
      </c>
    </row>
    <row r="232" spans="1:7" x14ac:dyDescent="0.15">
      <c r="A232" t="str">
        <f>HYPERLINK("./new_k5/query_cmdrels_weight_analyze/0.1_0.3_0.6/so_14978411.xlsx","so_14978411")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HYPERLINK("./new_k5/query_cmdrels_weight_analyze/0.1_0.3_0.6/so_15236308.xlsx","so_15236308")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HYPERLINK("./new_k5/query_cmdrels_weight_analyze/0.1_0.3_0.6/so_15286947.xlsx","so_15286947")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HYPERLINK("./new_k5/query_cmdrels_weight_analyze/0.1_0.3_0.6/so_15402770.xlsx","so_15402770")</f>
        <v>so_15402770</v>
      </c>
      <c r="B235">
        <v>0</v>
      </c>
      <c r="C235">
        <v>0</v>
      </c>
      <c r="D235">
        <v>0.19444444444444439</v>
      </c>
      <c r="E235">
        <v>0.19444444444444439</v>
      </c>
      <c r="F235">
        <v>0.19444444444444439</v>
      </c>
      <c r="G235">
        <v>0.31944444444444442</v>
      </c>
    </row>
    <row r="236" spans="1:7" x14ac:dyDescent="0.15">
      <c r="A236" t="str">
        <f>HYPERLINK("./new_k5/query_cmdrels_weight_analyze/0.1_0.3_0.6/so_1570262.xlsx","so_1570262")</f>
        <v>so_1570262</v>
      </c>
      <c r="B236">
        <v>0</v>
      </c>
      <c r="C236">
        <v>0</v>
      </c>
      <c r="D236">
        <v>0</v>
      </c>
      <c r="E236">
        <v>6.6666666666666666E-2</v>
      </c>
      <c r="F236">
        <v>0</v>
      </c>
      <c r="G236">
        <v>6.6666666666666666E-2</v>
      </c>
    </row>
    <row r="237" spans="1:7" x14ac:dyDescent="0.15">
      <c r="A237" t="str">
        <f>HYPERLINK("./new_k5/query_cmdrels_weight_analyze/0.1_0.3_0.6/so_1583219.xlsx","so_1583219")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HYPERLINK("./new_k5/query_cmdrels_weight_analyze/0.1_0.3_0.6/so_15872543.xlsx","so_15872543")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HYPERLINK("./new_k5/query_cmdrels_weight_analyze/0.1_0.3_0.6/so_16038087.xlsx","so_16038087")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0.23809523809523811</v>
      </c>
      <c r="F239">
        <v>0.2857142857142857</v>
      </c>
      <c r="G239">
        <v>0.23809523809523811</v>
      </c>
    </row>
    <row r="240" spans="1:7" x14ac:dyDescent="0.15">
      <c r="A240" t="str">
        <f>HYPERLINK("./new_k5/query_cmdrels_weight_analyze/0.1_0.3_0.6/so_16212656.xlsx","so_16212656")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0.38</v>
      </c>
    </row>
    <row r="241" spans="1:7" x14ac:dyDescent="0.15">
      <c r="A241" t="str">
        <f>HYPERLINK("./new_k5/query_cmdrels_weight_analyze/0.1_0.3_0.6/so_16575419.xlsx","so_16575419")</f>
        <v>so_16575419</v>
      </c>
      <c r="B241">
        <v>0.25</v>
      </c>
      <c r="C241">
        <v>0.25</v>
      </c>
      <c r="D241">
        <v>0.25</v>
      </c>
      <c r="E241">
        <v>0.5</v>
      </c>
      <c r="F241">
        <v>0.25</v>
      </c>
      <c r="G241">
        <v>0.5</v>
      </c>
    </row>
    <row r="242" spans="1:7" x14ac:dyDescent="0.15">
      <c r="A242" t="str">
        <f>HYPERLINK("./new_k5/query_cmdrels_weight_analyze/0.1_0.3_0.6/so_17582768.xlsx","so_17582768")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0</v>
      </c>
    </row>
    <row r="243" spans="1:7" x14ac:dyDescent="0.15">
      <c r="A243" t="str">
        <f>HYPERLINK("./new_k5/query_cmdrels_weight_analyze/0.1_0.3_0.6/so_17607612.xlsx","so_17607612")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HYPERLINK("./new_k5/query_cmdrels_weight_analyze/0.1_0.3_0.6/so_17829785.xlsx","so_17829785")</f>
        <v>so_17829785</v>
      </c>
      <c r="B244">
        <v>0.25</v>
      </c>
      <c r="C244">
        <v>0.25</v>
      </c>
      <c r="D244">
        <v>0.25</v>
      </c>
      <c r="E244">
        <v>0.5</v>
      </c>
      <c r="F244">
        <v>0.25</v>
      </c>
      <c r="G244">
        <v>0.5</v>
      </c>
    </row>
    <row r="245" spans="1:7" x14ac:dyDescent="0.15">
      <c r="A245" t="str">
        <f>HYPERLINK("./new_k5/query_cmdrels_weight_analyze/0.1_0.3_0.6/so_1839841.xlsx","so_1839841")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HYPERLINK("./new_k5/query_cmdrels_weight_analyze/0.1_0.3_0.6/so_18468716.xlsx","so_18468716")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0.33333333333333331</v>
      </c>
    </row>
    <row r="247" spans="1:7" x14ac:dyDescent="0.15">
      <c r="A247" t="str">
        <f>HYPERLINK("./new_k5/query_cmdrels_weight_analyze/0.1_0.3_0.6/so_19196105.xlsx","so_19196105")</f>
        <v>so_19196105</v>
      </c>
      <c r="B247">
        <v>0.1</v>
      </c>
      <c r="C247">
        <v>0.1</v>
      </c>
      <c r="D247">
        <v>0.3</v>
      </c>
      <c r="E247">
        <v>0.3</v>
      </c>
      <c r="F247">
        <v>0.5</v>
      </c>
      <c r="G247">
        <v>0.38</v>
      </c>
    </row>
    <row r="248" spans="1:7" x14ac:dyDescent="0.15">
      <c r="A248" t="str">
        <f>HYPERLINK("./new_k5/query_cmdrels_weight_analyze/0.1_0.3_0.6/so_19482123.xlsx","so_19482123")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HYPERLINK("./new_k5/query_cmdrels_weight_analyze/0.1_0.3_0.6/so_1975849.xlsx","so_1975849")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HYPERLINK("./new_k5/query_cmdrels_weight_analyze/0.1_0.3_0.6/so_212528.xlsx","so_212528")</f>
        <v>so_212528</v>
      </c>
      <c r="B250">
        <v>0</v>
      </c>
      <c r="C250">
        <v>0.16666666666666671</v>
      </c>
      <c r="D250">
        <v>0.19444444444444439</v>
      </c>
      <c r="E250">
        <v>0.5</v>
      </c>
      <c r="F250">
        <v>0.19444444444444439</v>
      </c>
      <c r="G250">
        <v>0.5</v>
      </c>
    </row>
    <row r="251" spans="1:7" x14ac:dyDescent="0.15">
      <c r="A251" t="str">
        <f>HYPERLINK("./new_k5/query_cmdrels_weight_analyze/0.1_0.3_0.6/so_21620406.xlsx","so_21620406")</f>
        <v>so_21620406</v>
      </c>
      <c r="B251">
        <v>0</v>
      </c>
      <c r="C251">
        <v>0</v>
      </c>
      <c r="D251">
        <v>0.1111111111111111</v>
      </c>
      <c r="E251">
        <v>0.1111111111111111</v>
      </c>
      <c r="F251">
        <v>0.1111111111111111</v>
      </c>
      <c r="G251">
        <v>0.1111111111111111</v>
      </c>
    </row>
    <row r="252" spans="1:7" x14ac:dyDescent="0.15">
      <c r="A252" t="str">
        <f>HYPERLINK("./new_k5/query_cmdrels_weight_analyze/0.1_0.3_0.6/so_23509348.xlsx","so_23509348")</f>
        <v>so_23509348</v>
      </c>
      <c r="B252">
        <v>0</v>
      </c>
      <c r="C252">
        <v>0.25</v>
      </c>
      <c r="D252">
        <v>0</v>
      </c>
      <c r="E252">
        <v>0.41666666666666657</v>
      </c>
      <c r="F252">
        <v>0</v>
      </c>
      <c r="G252">
        <v>0.41666666666666657</v>
      </c>
    </row>
    <row r="253" spans="1:7" x14ac:dyDescent="0.15">
      <c r="A253" t="str">
        <f>HYPERLINK("./new_k5/query_cmdrels_weight_analyze/0.1_0.3_0.6/so_24058544.xlsx","so_24058544")</f>
        <v>so_24058544</v>
      </c>
      <c r="B253">
        <v>0.2</v>
      </c>
      <c r="C253">
        <v>0</v>
      </c>
      <c r="D253">
        <v>0.2</v>
      </c>
      <c r="E253">
        <v>6.6666666666666666E-2</v>
      </c>
      <c r="F253">
        <v>0.2</v>
      </c>
      <c r="G253">
        <v>6.6666666666666666E-2</v>
      </c>
    </row>
    <row r="254" spans="1:7" x14ac:dyDescent="0.15">
      <c r="A254" t="str">
        <f>HYPERLINK("./new_k5/query_cmdrels_weight_analyze/0.1_0.3_0.6/so_24283097.xlsx","so_24283097")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HYPERLINK("./new_k5/query_cmdrels_weight_analyze/0.1_0.3_0.6/so_26256279.xlsx","so_26256279")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HYPERLINK("./new_k5/query_cmdrels_weight_analyze/0.1_0.3_0.6/so_26331651.xlsx","so_26331651")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HYPERLINK("./new_k5/query_cmdrels_weight_analyze/0.1_0.3_0.6/so_26988262.xlsx","so_26988262")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0.5</v>
      </c>
    </row>
    <row r="258" spans="1:7" x14ac:dyDescent="0.15">
      <c r="A258" t="str">
        <f>HYPERLINK("./new_k5/query_cmdrels_weight_analyze/0.1_0.3_0.6/so_27238411.xlsx","so_27238411")</f>
        <v>so_27238411</v>
      </c>
      <c r="B258">
        <v>0.2</v>
      </c>
      <c r="C258">
        <v>0.2</v>
      </c>
      <c r="D258">
        <v>0.6</v>
      </c>
      <c r="E258">
        <v>0.33333333333333331</v>
      </c>
      <c r="F258">
        <v>0.6</v>
      </c>
      <c r="G258">
        <v>0.48333333333333328</v>
      </c>
    </row>
    <row r="259" spans="1:7" x14ac:dyDescent="0.15">
      <c r="A259" t="str">
        <f>HYPERLINK("./new_k5/query_cmdrels_weight_analyze/0.1_0.3_0.6/so_27943059.xlsx","so_27943059")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0.55555555555555547</v>
      </c>
      <c r="F259">
        <v>0.16666666666666671</v>
      </c>
      <c r="G259">
        <v>0.55555555555555547</v>
      </c>
    </row>
    <row r="260" spans="1:7" x14ac:dyDescent="0.15">
      <c r="A260" t="str">
        <f>HYPERLINK("./new_k5/query_cmdrels_weight_analyze/0.1_0.3_0.6/so_28869004.xlsx","so_28869004")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HYPERLINK("./new_k5/query_cmdrels_weight_analyze/0.1_0.3_0.6/so_2973624.xlsx","so_2973624")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0.66666666666666663</v>
      </c>
      <c r="F261">
        <v>0.66666666666666663</v>
      </c>
      <c r="G261">
        <v>0.66666666666666663</v>
      </c>
    </row>
    <row r="262" spans="1:7" x14ac:dyDescent="0.15">
      <c r="A262" t="str">
        <f>HYPERLINK("./new_k5/query_cmdrels_weight_analyze/0.1_0.3_0.6/so_30177455.xlsx","so_30177455")</f>
        <v>so_30177455</v>
      </c>
      <c r="B262">
        <v>0</v>
      </c>
      <c r="C262">
        <v>0</v>
      </c>
      <c r="D262">
        <v>0.16666666666666671</v>
      </c>
      <c r="E262">
        <v>0.1111111111111111</v>
      </c>
      <c r="F262">
        <v>0.16666666666666671</v>
      </c>
      <c r="G262">
        <v>0.1111111111111111</v>
      </c>
    </row>
    <row r="263" spans="1:7" x14ac:dyDescent="0.15">
      <c r="A263" t="str">
        <f>HYPERLINK("./new_k5/query_cmdrels_weight_analyze/0.1_0.3_0.6/so_30251889.xlsx","so_30251889")</f>
        <v>so_30251889</v>
      </c>
      <c r="B263">
        <v>0</v>
      </c>
      <c r="C263">
        <v>0.25</v>
      </c>
      <c r="D263">
        <v>0.125</v>
      </c>
      <c r="E263">
        <v>0.75</v>
      </c>
      <c r="F263">
        <v>0.22500000000000001</v>
      </c>
      <c r="G263">
        <v>0.95</v>
      </c>
    </row>
    <row r="264" spans="1:7" x14ac:dyDescent="0.15">
      <c r="A264" t="str">
        <f>HYPERLINK("./new_k5/query_cmdrels_weight_analyze/0.1_0.3_0.6/so_305035.xlsx","so_305035")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HYPERLINK("./new_k5/query_cmdrels_weight_analyze/0.1_0.3_0.6/so_36249744.xlsx","so_36249744")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HYPERLINK("./new_k5/query_cmdrels_weight_analyze/0.1_0.3_0.6/so_3643848.xlsx","so_3643848")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HYPERLINK("./new_k5/query_cmdrels_weight_analyze/0.1_0.3_0.6/so_3667329.xlsx","so_3667329")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HYPERLINK("./new_k5/query_cmdrels_weight_analyze/0.1_0.3_0.6/so_369758.xlsx","so_369758")</f>
        <v>so_369758</v>
      </c>
      <c r="B268">
        <v>0.2</v>
      </c>
      <c r="C268">
        <v>0.2</v>
      </c>
      <c r="D268">
        <v>0.4</v>
      </c>
      <c r="E268">
        <v>0.6</v>
      </c>
      <c r="F268">
        <v>0.4</v>
      </c>
      <c r="G268">
        <v>0.6</v>
      </c>
    </row>
    <row r="269" spans="1:7" x14ac:dyDescent="0.15">
      <c r="A269" t="str">
        <f>HYPERLINK("./new_k5/query_cmdrels_weight_analyze/0.1_0.3_0.6/so_3756323.xlsx","so_3756323")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0.75</v>
      </c>
    </row>
    <row r="270" spans="1:7" x14ac:dyDescent="0.15">
      <c r="A270" t="str">
        <f>HYPERLINK("./new_k5/query_cmdrels_weight_analyze/0.1_0.3_0.6/so_3767267.xlsx","so_3767267")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0.2</v>
      </c>
    </row>
    <row r="271" spans="1:7" x14ac:dyDescent="0.15">
      <c r="A271" t="str">
        <f>HYPERLINK("./new_k5/query_cmdrels_weight_analyze/0.1_0.3_0.6/so_3833578.xlsx","so_3833578")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HYPERLINK("./new_k5/query_cmdrels_weight_analyze/0.1_0.3_0.6/so_3891076.xlsx","so_3891076")</f>
        <v>so_3891076</v>
      </c>
      <c r="B272">
        <v>0.25</v>
      </c>
      <c r="C272">
        <v>0</v>
      </c>
      <c r="D272">
        <v>0.25</v>
      </c>
      <c r="E272">
        <v>8.3333333333333329E-2</v>
      </c>
      <c r="F272">
        <v>0.25</v>
      </c>
      <c r="G272">
        <v>0.35833333333333328</v>
      </c>
    </row>
    <row r="273" spans="1:7" x14ac:dyDescent="0.15">
      <c r="A273" t="str">
        <f>HYPERLINK("./new_k5/query_cmdrels_weight_analyze/0.1_0.3_0.6/so_3963085.xlsx","so_3963085")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HYPERLINK("./new_k5/query_cmdrels_weight_analyze/0.1_0.3_0.6/so_4325216.xlsx","so_4325216")</f>
        <v>so_4325216</v>
      </c>
      <c r="B274">
        <v>0.5</v>
      </c>
      <c r="C274">
        <v>0.5</v>
      </c>
      <c r="D274">
        <v>0.5</v>
      </c>
      <c r="E274">
        <v>1</v>
      </c>
      <c r="F274">
        <v>0.5</v>
      </c>
      <c r="G274">
        <v>1</v>
      </c>
    </row>
    <row r="275" spans="1:7" x14ac:dyDescent="0.15">
      <c r="A275" t="str">
        <f>HYPERLINK("./new_k5/query_cmdrels_weight_analyze/0.1_0.3_0.6/so_448005.xlsx","so_448005")</f>
        <v>so_448005</v>
      </c>
      <c r="B275">
        <v>1</v>
      </c>
      <c r="C275">
        <v>0</v>
      </c>
      <c r="D275">
        <v>1</v>
      </c>
      <c r="E275">
        <v>0.33333333333333331</v>
      </c>
      <c r="F275">
        <v>1</v>
      </c>
      <c r="G275">
        <v>0.33333333333333331</v>
      </c>
    </row>
    <row r="276" spans="1:7" x14ac:dyDescent="0.15">
      <c r="A276" t="str">
        <f>HYPERLINK("./new_k5/query_cmdrels_weight_analyze/0.1_0.3_0.6/so_4921879.xlsx","so_4921879")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HYPERLINK("./new_k5/query_cmdrels_weight_analyze/0.1_0.3_0.6/so_4922943.xlsx","so_4922943")</f>
        <v>so_4922943</v>
      </c>
      <c r="B277">
        <v>0.2</v>
      </c>
      <c r="C277">
        <v>0</v>
      </c>
      <c r="D277">
        <v>0.33333333333333331</v>
      </c>
      <c r="E277">
        <v>0.1</v>
      </c>
      <c r="F277">
        <v>0.33333333333333331</v>
      </c>
      <c r="G277">
        <v>0.2</v>
      </c>
    </row>
    <row r="278" spans="1:7" x14ac:dyDescent="0.15">
      <c r="A278" t="str">
        <f>HYPERLINK("./new_k5/query_cmdrels_weight_analyze/0.1_0.3_0.6/so_5119946.xlsx","so_5119946")</f>
        <v>so_5119946</v>
      </c>
      <c r="B278">
        <v>0.5</v>
      </c>
      <c r="C278">
        <v>0</v>
      </c>
      <c r="D278">
        <v>0.5</v>
      </c>
      <c r="E278">
        <v>0.58333333333333326</v>
      </c>
      <c r="F278">
        <v>0.5</v>
      </c>
      <c r="G278">
        <v>0.58333333333333326</v>
      </c>
    </row>
    <row r="279" spans="1:7" x14ac:dyDescent="0.15">
      <c r="A279" t="str">
        <f>HYPERLINK("./new_k5/query_cmdrels_weight_analyze/0.1_0.3_0.6/so_5164985.xlsx","so_5164985")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0.3</v>
      </c>
    </row>
    <row r="280" spans="1:7" x14ac:dyDescent="0.15">
      <c r="A280" t="str">
        <f>HYPERLINK("./new_k5/query_cmdrels_weight_analyze/0.1_0.3_0.6/so_5306153.xlsx","so_5306153")</f>
        <v>so_5306153</v>
      </c>
      <c r="B280">
        <v>0</v>
      </c>
      <c r="C280">
        <v>0</v>
      </c>
      <c r="D280">
        <v>0</v>
      </c>
      <c r="E280">
        <v>0.33333333333333331</v>
      </c>
      <c r="F280">
        <v>0</v>
      </c>
      <c r="G280">
        <v>0.33333333333333331</v>
      </c>
    </row>
    <row r="281" spans="1:7" x14ac:dyDescent="0.15">
      <c r="A281" t="str">
        <f>HYPERLINK("./new_k5/query_cmdrels_weight_analyze/0.1_0.3_0.6/so_5566310.xlsx","so_5566310")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HYPERLINK("./new_k5/query_cmdrels_weight_analyze/0.1_0.3_0.6/so_5927369.xlsx","so_5927369")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HYPERLINK("./new_k5/query_cmdrels_weight_analyze/0.1_0.3_0.6/so_5947742.xlsx","so_5947742")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HYPERLINK("./new_k5/query_cmdrels_weight_analyze/0.1_0.3_0.6/so_614795.xlsx","so_614795")</f>
        <v>so_614795</v>
      </c>
      <c r="B284">
        <v>0</v>
      </c>
      <c r="C284">
        <v>0</v>
      </c>
      <c r="D284">
        <v>0</v>
      </c>
      <c r="E284">
        <v>0.16666666666666671</v>
      </c>
      <c r="F284">
        <v>0</v>
      </c>
      <c r="G284">
        <v>0.16666666666666671</v>
      </c>
    </row>
    <row r="285" spans="1:7" x14ac:dyDescent="0.15">
      <c r="A285" t="str">
        <f>HYPERLINK("./new_k5/query_cmdrels_weight_analyze/0.1_0.3_0.6/so_6207573.xlsx","so_6207573")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0.2857142857142857</v>
      </c>
      <c r="F285">
        <v>0.37142857142857139</v>
      </c>
      <c r="G285">
        <v>0.50714285714285712</v>
      </c>
    </row>
    <row r="286" spans="1:7" x14ac:dyDescent="0.15">
      <c r="A286" t="str">
        <f>HYPERLINK("./new_k5/query_cmdrels_weight_analyze/0.1_0.3_0.6/so_6283167.xlsx","so_6283167")</f>
        <v>so_6283167</v>
      </c>
      <c r="B286">
        <v>0.25</v>
      </c>
      <c r="C286">
        <v>0</v>
      </c>
      <c r="D286">
        <v>0.25</v>
      </c>
      <c r="E286">
        <v>0.125</v>
      </c>
      <c r="F286">
        <v>0.25</v>
      </c>
      <c r="G286">
        <v>0.25</v>
      </c>
    </row>
    <row r="287" spans="1:7" x14ac:dyDescent="0.15">
      <c r="A287" t="str">
        <f>HYPERLINK("./new_k5/query_cmdrels_weight_analyze/0.1_0.3_0.6/so_6329505.xlsx","so_6329505")</f>
        <v>so_6329505</v>
      </c>
      <c r="B287">
        <v>0</v>
      </c>
      <c r="C287">
        <v>0</v>
      </c>
      <c r="D287">
        <v>0.1</v>
      </c>
      <c r="E287">
        <v>6.6666666666666666E-2</v>
      </c>
      <c r="F287">
        <v>0.18</v>
      </c>
      <c r="G287">
        <v>6.6666666666666666E-2</v>
      </c>
    </row>
    <row r="288" spans="1:7" x14ac:dyDescent="0.15">
      <c r="A288" t="str">
        <f>HYPERLINK("./new_k5/query_cmdrels_weight_analyze/0.1_0.3_0.6/so_6423532.xlsx","so_6423532")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HYPERLINK("./new_k5/query_cmdrels_weight_analyze/0.1_0.3_0.6/so_669438.xlsx","so_669438")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0.45333333333333331</v>
      </c>
    </row>
    <row r="290" spans="1:7" x14ac:dyDescent="0.15">
      <c r="A290" t="str">
        <f>HYPERLINK("./new_k5/query_cmdrels_weight_analyze/0.1_0.3_0.6/so_7052875.xlsx","so_7052875")</f>
        <v>so_7052875</v>
      </c>
      <c r="B290">
        <v>0.2</v>
      </c>
      <c r="C290">
        <v>0.2</v>
      </c>
      <c r="D290">
        <v>0.2</v>
      </c>
      <c r="E290">
        <v>0.2</v>
      </c>
      <c r="F290">
        <v>0.2</v>
      </c>
      <c r="G290">
        <v>0.3</v>
      </c>
    </row>
    <row r="291" spans="1:7" x14ac:dyDescent="0.15">
      <c r="A291" t="str">
        <f>HYPERLINK("./new_k5/query_cmdrels_weight_analyze/0.1_0.3_0.6/so_7221757.xlsx","so_7221757")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HYPERLINK("./new_k5/query_cmdrels_weight_analyze/0.1_0.3_0.6/so_750604.xlsx","so_750604")</f>
        <v>so_750604</v>
      </c>
      <c r="B292">
        <v>0</v>
      </c>
      <c r="C292">
        <v>0</v>
      </c>
      <c r="D292">
        <v>0.1111111111111111</v>
      </c>
      <c r="E292">
        <v>0</v>
      </c>
      <c r="F292">
        <v>0.1111111111111111</v>
      </c>
      <c r="G292">
        <v>8.3333333333333329E-2</v>
      </c>
    </row>
    <row r="293" spans="1:7" x14ac:dyDescent="0.15">
      <c r="A293" t="str">
        <f>HYPERLINK("./new_k5/query_cmdrels_weight_analyze/0.1_0.3_0.6/so_7575267.xlsx","so_7575267")</f>
        <v>so_7575267</v>
      </c>
      <c r="B293">
        <v>0</v>
      </c>
      <c r="C293">
        <v>0.25</v>
      </c>
      <c r="D293">
        <v>0</v>
      </c>
      <c r="E293">
        <v>0.5</v>
      </c>
      <c r="F293">
        <v>0</v>
      </c>
      <c r="G293">
        <v>0.6875</v>
      </c>
    </row>
    <row r="294" spans="1:7" x14ac:dyDescent="0.15">
      <c r="A294" t="str">
        <f>HYPERLINK("./new_k5/query_cmdrels_weight_analyze/0.1_0.3_0.6/so_7698488.xlsx","so_7698488")</f>
        <v>so_7698488</v>
      </c>
      <c r="B294">
        <v>0</v>
      </c>
      <c r="C294">
        <v>0</v>
      </c>
      <c r="D294">
        <v>0</v>
      </c>
      <c r="E294">
        <v>8.3333333333333329E-2</v>
      </c>
      <c r="F294">
        <v>0</v>
      </c>
      <c r="G294">
        <v>0.20833333333333329</v>
      </c>
    </row>
    <row r="295" spans="1:7" x14ac:dyDescent="0.15">
      <c r="A295" t="str">
        <f>HYPERLINK("./new_k5/query_cmdrels_weight_analyze/0.1_0.3_0.6/so_801095.xlsx","so_801095")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0.55555555555555547</v>
      </c>
      <c r="F295">
        <v>0.33333333333333331</v>
      </c>
      <c r="G295">
        <v>0.75555555555555554</v>
      </c>
    </row>
    <row r="296" spans="1:7" x14ac:dyDescent="0.15">
      <c r="A296" t="str">
        <f>HYPERLINK("./new_k5/query_cmdrels_weight_analyze/0.1_0.3_0.6/so_8249705.xlsx","so_8249705")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HYPERLINK("./new_k5/query_cmdrels_weight_analyze/0.1_0.3_0.6/so_8423541.xlsx","so_8423541")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HYPERLINK("./new_k5/query_cmdrels_weight_analyze/0.1_0.3_0.6/so_8654051.xlsx","so_8654051")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HYPERLINK("./new_k5/query_cmdrels_weight_analyze/0.1_0.3_0.6/so_890262.xlsx","so_890262")</f>
        <v>so_890262</v>
      </c>
      <c r="B299">
        <v>0</v>
      </c>
      <c r="C299">
        <v>0</v>
      </c>
      <c r="D299">
        <v>0</v>
      </c>
      <c r="E299">
        <v>0.1111111111111111</v>
      </c>
      <c r="F299">
        <v>0</v>
      </c>
      <c r="G299">
        <v>0.27777777777777768</v>
      </c>
    </row>
    <row r="300" spans="1:7" x14ac:dyDescent="0.15">
      <c r="A300" t="str">
        <f>HYPERLINK("./new_k5/query_cmdrels_weight_analyze/0.1_0.3_0.6/so_893585.xlsx","so_893585")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HYPERLINK("./new_k5/query_cmdrels_weight_analyze/0.1_0.3_0.6/so_9223460.xlsx","so_9223460")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HYPERLINK("./new_k5/query_cmdrels_weight_analyze/0.1_0.3_0.6/so_9245638.xlsx","so_9245638")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0.55555555555555547</v>
      </c>
      <c r="F302">
        <v>0.55555555555555547</v>
      </c>
      <c r="G302">
        <v>0.55555555555555547</v>
      </c>
    </row>
    <row r="303" spans="1:7" x14ac:dyDescent="0.15">
      <c r="A303" t="str">
        <f>HYPERLINK("./new_k5/query_cmdrels_weight_analyze/0.1_0.3_0.6/so_9304953.xlsx","so_9304953")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HYPERLINK("./new_k5/query_cmdrels_weight_analyze/0.1_0.3_0.6/so_9361816.xlsx","so_9361816")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HYPERLINK("./new_k5/query_cmdrels_weight_analyze/0.1_0.3_0.6/su_116617.xlsx","su_116617")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HYPERLINK("./new_k5/query_cmdrels_weight_analyze/0.1_0.3_0.6/su_120045.xlsx","su_120045")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HYPERLINK("./new_k5/query_cmdrels_weight_analyze/0.1_0.3_0.6/su_127863.xlsx","su_127863")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HYPERLINK("./new_k5/query_cmdrels_weight_analyze/0.1_0.3_0.6/su_135498.xlsx","su_135498")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HYPERLINK("./new_k5/query_cmdrels_weight_analyze/0.1_0.3_0.6/su_147027.xlsx","su_147027")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HYPERLINK("./new_k5/query_cmdrels_weight_analyze/0.1_0.3_0.6/su_151911.xlsx","su_151911")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0.05</v>
      </c>
    </row>
    <row r="311" spans="1:7" x14ac:dyDescent="0.15">
      <c r="A311" t="str">
        <f>HYPERLINK("./new_k5/query_cmdrels_weight_analyze/0.1_0.3_0.6/su_153415.xlsx","su_153415")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HYPERLINK("./new_k5/query_cmdrels_weight_analyze/0.1_0.3_0.6/su_156189.xlsx","su_156189")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0.37777777777777782</v>
      </c>
    </row>
    <row r="313" spans="1:7" x14ac:dyDescent="0.15">
      <c r="A313" t="str">
        <f>HYPERLINK("./new_k5/query_cmdrels_weight_analyze/0.1_0.3_0.6/su_161531.xlsx","su_161531")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HYPERLINK("./new_k5/query_cmdrels_weight_analyze/0.1_0.3_0.6/su_204209.xlsx","su_204209")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HYPERLINK("./new_k5/query_cmdrels_weight_analyze/0.1_0.3_0.6/su_214390.xlsx","su_214390")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HYPERLINK("./new_k5/query_cmdrels_weight_analyze/0.1_0.3_0.6/su_215483.xlsx","su_215483")</f>
        <v>su_215483</v>
      </c>
      <c r="B316">
        <v>0.5</v>
      </c>
      <c r="C316">
        <v>0.5</v>
      </c>
      <c r="D316">
        <v>1</v>
      </c>
      <c r="E316">
        <v>1</v>
      </c>
      <c r="F316">
        <v>1</v>
      </c>
      <c r="G316">
        <v>1</v>
      </c>
    </row>
    <row r="317" spans="1:7" x14ac:dyDescent="0.15">
      <c r="A317" t="str">
        <f>HYPERLINK("./new_k5/query_cmdrels_weight_analyze/0.1_0.3_0.6/su_215504.xlsx","su_215504")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0.44166666666666671</v>
      </c>
    </row>
    <row r="318" spans="1:7" x14ac:dyDescent="0.15">
      <c r="A318" t="str">
        <f>HYPERLINK("./new_k5/query_cmdrels_weight_analyze/0.1_0.3_0.6/su_227385.xlsx","su_227385")</f>
        <v>su_227385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6.25E-2</v>
      </c>
    </row>
    <row r="319" spans="1:7" x14ac:dyDescent="0.15">
      <c r="A319" t="str">
        <f>HYPERLINK("./new_k5/query_cmdrels_weight_analyze/0.1_0.3_0.6/su_273254.xlsx","su_273254")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HYPERLINK("./new_k5/query_cmdrels_weight_analyze/0.1_0.3_0.6/su_294161.xlsx","su_294161")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HYPERLINK("./new_k5/query_cmdrels_weight_analyze/0.1_0.3_0.6/su_302396.xlsx","su_302396")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HYPERLINK("./new_k5/query_cmdrels_weight_analyze/0.1_0.3_0.6/su_303981.xlsx","su_303981")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HYPERLINK("./new_k5/query_cmdrels_weight_analyze/0.1_0.3_0.6/su_305128.xlsx","su_305128")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HYPERLINK("./new_k5/query_cmdrels_weight_analyze/0.1_0.3_0.6/su_31512.xlsx","su_31512")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HYPERLINK("./new_k5/query_cmdrels_weight_analyze/0.1_0.3_0.6/su_380520.xlsx","su_380520")</f>
        <v>su_380520</v>
      </c>
      <c r="B325">
        <v>0.33333333333333331</v>
      </c>
      <c r="C325">
        <v>0.33333333333333331</v>
      </c>
      <c r="D325">
        <v>0.33333333333333331</v>
      </c>
      <c r="E325">
        <v>0.55555555555555547</v>
      </c>
      <c r="F325">
        <v>0.33333333333333331</v>
      </c>
      <c r="G325">
        <v>0.55555555555555547</v>
      </c>
    </row>
    <row r="326" spans="1:7" x14ac:dyDescent="0.15">
      <c r="A326" t="str">
        <f>HYPERLINK("./new_k5/query_cmdrels_weight_analyze/0.1_0.3_0.6/su_38981.xlsx","su_38981")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HYPERLINK("./new_k5/query_cmdrels_weight_analyze/0.1_0.3_0.6/su_437330.xlsx","su_437330")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HYPERLINK("./new_k5/query_cmdrels_weight_analyze/0.1_0.3_0.6/su_441379.xlsx","su_441379")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HYPERLINK("./new_k5/query_cmdrels_weight_analyze/0.1_0.3_0.6/su_462788.xlsx","su_462788")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0.1851851851851852</v>
      </c>
      <c r="F329">
        <v>0.30555555555555558</v>
      </c>
      <c r="G329">
        <v>0.26851851851851849</v>
      </c>
    </row>
    <row r="330" spans="1:7" x14ac:dyDescent="0.15">
      <c r="A330" t="str">
        <f>HYPERLINK("./new_k5/query_cmdrels_weight_analyze/0.1_0.3_0.6/su_626606.xlsx","su_626606")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0.66666666666666663</v>
      </c>
    </row>
    <row r="331" spans="1:7" x14ac:dyDescent="0.15">
      <c r="A331" t="str">
        <f>HYPERLINK("./new_k5/query_cmdrels_weight_analyze/0.1_0.3_0.6/su_634469.xlsx","su_634469")</f>
        <v>su_634469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15">
      <c r="A332" t="str">
        <f>HYPERLINK("./new_k5/query_cmdrels_weight_analyze/0.1_0.3_0.6/su_638616.xlsx","su_638616")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HYPERLINK("./new_k5/query_cmdrels_weight_analyze/0.1_0.3_0.6/su_678113.xlsx","su_678113")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HYPERLINK("./new_k5/query_cmdrels_weight_analyze/0.1_0.3_0.6/su_686394.xlsx","su_686394")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HYPERLINK("./new_k5/query_cmdrels_weight_analyze/0.1_0.3_0.6/su_716795.xlsx","su_716795")</f>
        <v>su_716795</v>
      </c>
      <c r="B335">
        <v>0.5</v>
      </c>
      <c r="C335">
        <v>0</v>
      </c>
      <c r="D335">
        <v>0.83333333333333326</v>
      </c>
      <c r="E335">
        <v>0.16666666666666671</v>
      </c>
      <c r="F335">
        <v>0.83333333333333326</v>
      </c>
      <c r="G335">
        <v>0.16666666666666671</v>
      </c>
    </row>
    <row r="336" spans="1:7" x14ac:dyDescent="0.15">
      <c r="A336" t="str">
        <f>HYPERLINK("./new_k5/query_cmdrels_weight_analyze/0.1_0.3_0.6/su_758463.xlsx","su_758463")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HYPERLINK("./new_k5/query_cmdrels_weight_analyze/0.1_0.3_0.6/su_766437.xlsx","su_766437")</f>
        <v>su_766437</v>
      </c>
      <c r="B337">
        <v>0</v>
      </c>
      <c r="C337">
        <v>0</v>
      </c>
      <c r="D337">
        <v>0</v>
      </c>
      <c r="E337">
        <v>6.6666666666666666E-2</v>
      </c>
      <c r="F337">
        <v>0.05</v>
      </c>
      <c r="G337">
        <v>0.28666666666666663</v>
      </c>
    </row>
    <row r="338" spans="1:7" x14ac:dyDescent="0.15">
      <c r="A338" t="str">
        <f>HYPERLINK("./new_k5/query_cmdrels_weight_analyze/0.1_0.3_0.6/su_904001.xlsx","su_904001")</f>
        <v>su_904001</v>
      </c>
      <c r="B338">
        <v>0.5</v>
      </c>
      <c r="C338">
        <v>0</v>
      </c>
      <c r="D338">
        <v>0.5</v>
      </c>
      <c r="E338">
        <v>0.58333333333333326</v>
      </c>
      <c r="F338">
        <v>0.5</v>
      </c>
      <c r="G338">
        <v>0.58333333333333326</v>
      </c>
    </row>
    <row r="339" spans="1:7" x14ac:dyDescent="0.15">
      <c r="A339" t="str">
        <f>HYPERLINK("./new_k5/query_cmdrels_weight_analyze/0.1_0.3_0.6/ul_100959.xlsx","ul_100959")</f>
        <v>ul_100959</v>
      </c>
      <c r="B339">
        <v>0</v>
      </c>
      <c r="C339">
        <v>0.5</v>
      </c>
      <c r="D339">
        <v>0.25</v>
      </c>
      <c r="E339">
        <v>0.83333333333333326</v>
      </c>
      <c r="F339">
        <v>0.25</v>
      </c>
      <c r="G339">
        <v>0.83333333333333326</v>
      </c>
    </row>
    <row r="340" spans="1:7" x14ac:dyDescent="0.15">
      <c r="A340" t="str">
        <f>HYPERLINK("./new_k5/query_cmdrels_weight_analyze/0.1_0.3_0.6/ul_101073.xlsx","ul_101073")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HYPERLINK("./new_k5/query_cmdrels_weight_analyze/0.1_0.3_0.6/ul_101237.xlsx","ul_101237")</f>
        <v>ul_101237</v>
      </c>
      <c r="B341">
        <v>0</v>
      </c>
      <c r="C341">
        <v>0</v>
      </c>
      <c r="D341">
        <v>0.25</v>
      </c>
      <c r="E341">
        <v>0.25</v>
      </c>
      <c r="F341">
        <v>0.25</v>
      </c>
      <c r="G341">
        <v>0.45</v>
      </c>
    </row>
    <row r="342" spans="1:7" x14ac:dyDescent="0.15">
      <c r="A342" t="str">
        <f>HYPERLINK("./new_k5/query_cmdrels_weight_analyze/0.1_0.3_0.6/ul_102752.xlsx","ul_102752")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HYPERLINK("./new_k5/query_cmdrels_weight_analyze/0.1_0.3_0.6/ul_108174.xlsx","ul_108174")</f>
        <v>ul_108174</v>
      </c>
      <c r="B343">
        <v>0</v>
      </c>
      <c r="C343">
        <v>0</v>
      </c>
      <c r="D343">
        <v>0.16666666666666671</v>
      </c>
      <c r="E343">
        <v>0</v>
      </c>
      <c r="F343">
        <v>0.16666666666666671</v>
      </c>
      <c r="G343">
        <v>8.3333333333333329E-2</v>
      </c>
    </row>
    <row r="344" spans="1:7" x14ac:dyDescent="0.15">
      <c r="A344" t="str">
        <f>HYPERLINK("./new_k5/query_cmdrels_weight_analyze/0.1_0.3_0.6/ul_109536.xlsx","ul_109536")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HYPERLINK("./new_k5/query_cmdrels_weight_analyze/0.1_0.3_0.6/ul_112050.xlsx","ul_112050")</f>
        <v>ul_112050</v>
      </c>
      <c r="B345">
        <v>0</v>
      </c>
      <c r="C345">
        <v>0.25</v>
      </c>
      <c r="D345">
        <v>0.125</v>
      </c>
      <c r="E345">
        <v>0.75</v>
      </c>
      <c r="F345">
        <v>0.125</v>
      </c>
      <c r="G345">
        <v>0.75</v>
      </c>
    </row>
    <row r="346" spans="1:7" x14ac:dyDescent="0.15">
      <c r="A346" t="str">
        <f>HYPERLINK("./new_k5/query_cmdrels_weight_analyze/0.1_0.3_0.6/ul_116070.xlsx","ul_116070")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HYPERLINK("./new_k5/query_cmdrels_weight_analyze/0.1_0.3_0.6/ul_11851.xlsx","ul_11851")</f>
        <v>ul_11851</v>
      </c>
      <c r="B347">
        <v>0</v>
      </c>
      <c r="C347">
        <v>0.2</v>
      </c>
      <c r="D347">
        <v>0</v>
      </c>
      <c r="E347">
        <v>0.33333333333333331</v>
      </c>
      <c r="F347">
        <v>0</v>
      </c>
      <c r="G347">
        <v>0.64333333333333331</v>
      </c>
    </row>
    <row r="348" spans="1:7" x14ac:dyDescent="0.15">
      <c r="A348" t="str">
        <f>HYPERLINK("./new_k5/query_cmdrels_weight_analyze/0.1_0.3_0.6/ul_119126.xlsx","ul_119126")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HYPERLINK("./new_k5/query_cmdrels_weight_analyze/0.1_0.3_0.6/ul_121718.xlsx","ul_121718")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HYPERLINK("./new_k5/query_cmdrels_weight_analyze/0.1_0.3_0.6/ul_12227.xlsx","ul_12227")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HYPERLINK("./new_k5/query_cmdrels_weight_analyze/0.1_0.3_0.6/ul_12453.xlsx","ul_12453")</f>
        <v>ul_12453</v>
      </c>
      <c r="B351">
        <v>0</v>
      </c>
      <c r="C351">
        <v>0.25</v>
      </c>
      <c r="D351">
        <v>0.125</v>
      </c>
      <c r="E351">
        <v>0.41666666666666657</v>
      </c>
      <c r="F351">
        <v>0.125</v>
      </c>
      <c r="G351">
        <v>0.60416666666666663</v>
      </c>
    </row>
    <row r="352" spans="1:7" x14ac:dyDescent="0.15">
      <c r="A352" t="str">
        <f>HYPERLINK("./new_k5/query_cmdrels_weight_analyze/0.1_0.3_0.6/ul_12535.xlsx","ul_12535")</f>
        <v>ul_12535</v>
      </c>
      <c r="B352">
        <v>0</v>
      </c>
      <c r="C352">
        <v>0</v>
      </c>
      <c r="D352">
        <v>0</v>
      </c>
      <c r="E352">
        <v>0.1</v>
      </c>
      <c r="F352">
        <v>0.05</v>
      </c>
      <c r="G352">
        <v>0.2</v>
      </c>
    </row>
    <row r="353" spans="1:7" x14ac:dyDescent="0.15">
      <c r="A353" t="str">
        <f>HYPERLINK("./new_k5/query_cmdrels_weight_analyze/0.1_0.3_0.6/ul_127066.xlsx","ul_127066")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0.41666666666666657</v>
      </c>
    </row>
    <row r="354" spans="1:7" x14ac:dyDescent="0.15">
      <c r="A354" t="str">
        <f>HYPERLINK("./new_k5/query_cmdrels_weight_analyze/0.1_0.3_0.6/ul_128953.xlsx","ul_128953")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HYPERLINK("./new_k5/query_cmdrels_weight_analyze/0.1_0.3_0.6/ul_134829.xlsx","ul_134829")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0.5</v>
      </c>
    </row>
    <row r="356" spans="1:7" x14ac:dyDescent="0.15">
      <c r="A356" t="str">
        <f>HYPERLINK("./new_k5/query_cmdrels_weight_analyze/0.1_0.3_0.6/ul_136371.xlsx","ul_136371")</f>
        <v>ul_136371</v>
      </c>
      <c r="B356">
        <v>0</v>
      </c>
      <c r="C356">
        <v>0</v>
      </c>
      <c r="D356">
        <v>0</v>
      </c>
      <c r="E356">
        <v>0.16666666666666671</v>
      </c>
      <c r="F356">
        <v>0</v>
      </c>
      <c r="G356">
        <v>0.3</v>
      </c>
    </row>
    <row r="357" spans="1:7" x14ac:dyDescent="0.15">
      <c r="A357" t="str">
        <f>HYPERLINK("./new_k5/query_cmdrels_weight_analyze/0.1_0.3_0.6/ul_136884.xlsx","ul_136884")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8.3333333333333329E-2</v>
      </c>
    </row>
    <row r="358" spans="1:7" x14ac:dyDescent="0.15">
      <c r="A358" t="str">
        <f>HYPERLINK("./new_k5/query_cmdrels_weight_analyze/0.1_0.3_0.6/ul_138398.xlsx","ul_138398")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0.05</v>
      </c>
    </row>
    <row r="359" spans="1:7" x14ac:dyDescent="0.15">
      <c r="A359" t="str">
        <f>HYPERLINK("./new_k5/query_cmdrels_weight_analyze/0.1_0.3_0.6/ul_139271.xlsx","ul_139271")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0.33333333333333331</v>
      </c>
      <c r="F359">
        <v>0.33333333333333331</v>
      </c>
      <c r="G359">
        <v>0.43333333333333329</v>
      </c>
    </row>
    <row r="360" spans="1:7" x14ac:dyDescent="0.15">
      <c r="A360" t="str">
        <f>HYPERLINK("./new_k5/query_cmdrels_weight_analyze/0.1_0.3_0.6/ul_140482.xlsx","ul_140482")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HYPERLINK("./new_k5/query_cmdrels_weight_analyze/0.1_0.3_0.6/ul_14191.xlsx","ul_14191")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0.24444444444444449</v>
      </c>
    </row>
    <row r="362" spans="1:7" x14ac:dyDescent="0.15">
      <c r="A362" t="str">
        <f>HYPERLINK("./new_k5/query_cmdrels_weight_analyze/0.1_0.3_0.6/ul_145929.xlsx","ul_145929")</f>
        <v>ul_145929</v>
      </c>
      <c r="B362">
        <v>0</v>
      </c>
      <c r="C362">
        <v>0</v>
      </c>
      <c r="D362">
        <v>0.16666666666666671</v>
      </c>
      <c r="E362">
        <v>0.16666666666666671</v>
      </c>
      <c r="F362">
        <v>0.16666666666666671</v>
      </c>
      <c r="G362">
        <v>0.16666666666666671</v>
      </c>
    </row>
    <row r="363" spans="1:7" x14ac:dyDescent="0.15">
      <c r="A363" t="str">
        <f>HYPERLINK("./new_k5/query_cmdrels_weight_analyze/0.1_0.3_0.6/ul_148985.xlsx","ul_148985")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HYPERLINK("./new_k5/query_cmdrels_weight_analyze/0.1_0.3_0.6/ul_15405.xlsx","ul_15405")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HYPERLINK("./new_k5/query_cmdrels_weight_analyze/0.1_0.3_0.6/ul_155551.xlsx","ul_155551")</f>
        <v>ul_155551</v>
      </c>
      <c r="B365">
        <v>0</v>
      </c>
      <c r="C365">
        <v>0.5</v>
      </c>
      <c r="D365">
        <v>0</v>
      </c>
      <c r="E365">
        <v>0.5</v>
      </c>
      <c r="F365">
        <v>0</v>
      </c>
      <c r="G365">
        <v>0.75</v>
      </c>
    </row>
    <row r="366" spans="1:7" x14ac:dyDescent="0.15">
      <c r="A366" t="str">
        <f>HYPERLINK("./new_k5/query_cmdrels_weight_analyze/0.1_0.3_0.6/ul_159672.xlsx","ul_159672")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HYPERLINK("./new_k5/query_cmdrels_weight_analyze/0.1_0.3_0.6/ul_163845.xlsx","ul_163845")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0.29166666666666657</v>
      </c>
    </row>
    <row r="368" spans="1:7" x14ac:dyDescent="0.15">
      <c r="A368" t="str">
        <f>HYPERLINK("./new_k5/query_cmdrels_weight_analyze/0.1_0.3_0.6/ul_16407.xlsx","ul_16407")</f>
        <v>ul_16407</v>
      </c>
      <c r="B368">
        <v>0.5</v>
      </c>
      <c r="C368">
        <v>0</v>
      </c>
      <c r="D368">
        <v>0.5</v>
      </c>
      <c r="E368">
        <v>0.25</v>
      </c>
      <c r="F368">
        <v>0.75</v>
      </c>
      <c r="G368">
        <v>0.25</v>
      </c>
    </row>
    <row r="369" spans="1:7" x14ac:dyDescent="0.15">
      <c r="A369" t="str">
        <f>HYPERLINK("./new_k5/query_cmdrels_weight_analyze/0.1_0.3_0.6/ul_166558.xlsx","ul_166558")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HYPERLINK("./new_k5/query_cmdrels_weight_analyze/0.1_0.3_0.6/ul_171314.xlsx","ul_171314")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0.35</v>
      </c>
    </row>
    <row r="371" spans="1:7" x14ac:dyDescent="0.15">
      <c r="A371" t="str">
        <f>HYPERLINK("./new_k5/query_cmdrels_weight_analyze/0.1_0.3_0.6/ul_182032.xlsx","ul_182032")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HYPERLINK("./new_k5/query_cmdrels_weight_analyze/0.1_0.3_0.6/ul_19344.xlsx","ul_19344")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HYPERLINK("./new_k5/query_cmdrels_weight_analyze/0.1_0.3_0.6/ul_19369.xlsx","ul_19369")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HYPERLINK("./new_k5/query_cmdrels_weight_analyze/0.1_0.3_0.6/ul_19485.xlsx","ul_19485")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HYPERLINK("./new_k5/query_cmdrels_weight_analyze/0.1_0.3_0.6/ul_20370.xlsx","ul_20370")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0.125</v>
      </c>
    </row>
    <row r="376" spans="1:7" x14ac:dyDescent="0.15">
      <c r="A376" t="str">
        <f>HYPERLINK("./new_k5/query_cmdrels_weight_analyze/0.1_0.3_0.6/ul_211817.xlsx","ul_211817")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HYPERLINK("./new_k5/query_cmdrels_weight_analyze/0.1_0.3_0.6/ul_212925.xlsx","ul_212925")</f>
        <v>ul_212925</v>
      </c>
      <c r="B377">
        <v>0</v>
      </c>
      <c r="C377">
        <v>0</v>
      </c>
      <c r="D377">
        <v>0</v>
      </c>
      <c r="E377">
        <v>0.5</v>
      </c>
      <c r="F377">
        <v>0</v>
      </c>
      <c r="G377">
        <v>0.5</v>
      </c>
    </row>
    <row r="378" spans="1:7" x14ac:dyDescent="0.15">
      <c r="A378" t="str">
        <f>HYPERLINK("./new_k5/query_cmdrels_weight_analyze/0.1_0.3_0.6/ul_21471.xlsx","ul_21471")</f>
        <v>ul_21471</v>
      </c>
      <c r="B378">
        <v>0</v>
      </c>
      <c r="C378">
        <v>0.33333333333333331</v>
      </c>
      <c r="D378">
        <v>0</v>
      </c>
      <c r="E378">
        <v>0.33333333333333331</v>
      </c>
      <c r="F378">
        <v>8.3333333333333329E-2</v>
      </c>
      <c r="G378">
        <v>0.33333333333333331</v>
      </c>
    </row>
    <row r="379" spans="1:7" x14ac:dyDescent="0.15">
      <c r="A379" t="str">
        <f>HYPERLINK("./new_k5/query_cmdrels_weight_analyze/0.1_0.3_0.6/ul_22545.xlsx","ul_22545")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HYPERLINK("./new_k5/query_cmdrels_weight_analyze/0.1_0.3_0.6/ul_230481.xlsx","ul_230481")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0.75555555555555554</v>
      </c>
    </row>
    <row r="381" spans="1:7" x14ac:dyDescent="0.15">
      <c r="A381" t="str">
        <f>HYPERLINK("./new_k5/query_cmdrels_weight_analyze/0.1_0.3_0.6/ul_230673.xlsx","ul_230673")</f>
        <v>ul_230673</v>
      </c>
      <c r="B381">
        <v>0</v>
      </c>
      <c r="C381">
        <v>0</v>
      </c>
      <c r="D381">
        <v>0</v>
      </c>
      <c r="E381">
        <v>0.16666666666666671</v>
      </c>
      <c r="F381">
        <v>0</v>
      </c>
      <c r="G381">
        <v>0.16666666666666671</v>
      </c>
    </row>
    <row r="382" spans="1:7" x14ac:dyDescent="0.15">
      <c r="A382" t="str">
        <f>HYPERLINK("./new_k5/query_cmdrels_weight_analyze/0.1_0.3_0.6/ul_230800.xlsx","ul_230800")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HYPERLINK("./new_k5/query_cmdrels_weight_analyze/0.1_0.3_0.6/ul_232384.xlsx","ul_232384")</f>
        <v>ul_232384</v>
      </c>
      <c r="B383">
        <v>0</v>
      </c>
      <c r="C383">
        <v>0.5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HYPERLINK("./new_k5/query_cmdrels_weight_analyze/0.1_0.3_0.6/ul_24441.xlsx","ul_24441")</f>
        <v>ul_24441</v>
      </c>
      <c r="B384">
        <v>0</v>
      </c>
      <c r="C384">
        <v>0</v>
      </c>
      <c r="D384">
        <v>0</v>
      </c>
      <c r="E384">
        <v>0.25</v>
      </c>
      <c r="F384">
        <v>0</v>
      </c>
      <c r="G384">
        <v>0.25</v>
      </c>
    </row>
    <row r="385" spans="1:7" x14ac:dyDescent="0.15">
      <c r="A385" t="str">
        <f>HYPERLINK("./new_k5/query_cmdrels_weight_analyze/0.1_0.3_0.6/ul_246535.xlsx","ul_246535")</f>
        <v>ul_246535</v>
      </c>
      <c r="B385">
        <v>0.2</v>
      </c>
      <c r="C385">
        <v>0.2</v>
      </c>
      <c r="D385">
        <v>0.2</v>
      </c>
      <c r="E385">
        <v>0.2</v>
      </c>
      <c r="F385">
        <v>0.2</v>
      </c>
      <c r="G385">
        <v>0.42</v>
      </c>
    </row>
    <row r="386" spans="1:7" x14ac:dyDescent="0.15">
      <c r="A386" t="str">
        <f>HYPERLINK("./new_k5/query_cmdrels_weight_analyze/0.1_0.3_0.6/ul_259791.xlsx","ul_259791")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HYPERLINK("./new_k5/query_cmdrels_weight_analyze/0.1_0.3_0.6/ul_273971.xlsx","ul_273971")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0.16666666666666671</v>
      </c>
      <c r="F387">
        <v>0.43333333333333329</v>
      </c>
      <c r="G387">
        <v>0.23333333333333331</v>
      </c>
    </row>
    <row r="388" spans="1:7" x14ac:dyDescent="0.15">
      <c r="A388" t="str">
        <f>HYPERLINK("./new_k5/query_cmdrels_weight_analyze/0.1_0.3_0.6/ul_28553.xlsx","ul_28553")</f>
        <v>ul_28553</v>
      </c>
      <c r="B388">
        <v>0.25</v>
      </c>
      <c r="C388">
        <v>0.25</v>
      </c>
      <c r="D388">
        <v>0.5</v>
      </c>
      <c r="E388">
        <v>0.25</v>
      </c>
      <c r="F388">
        <v>0.5</v>
      </c>
      <c r="G388">
        <v>0.25</v>
      </c>
    </row>
    <row r="389" spans="1:7" x14ac:dyDescent="0.15">
      <c r="A389" t="str">
        <f>HYPERLINK("./new_k5/query_cmdrels_weight_analyze/0.1_0.3_0.6/ul_288521.xlsx","ul_288521")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HYPERLINK("./new_k5/query_cmdrels_weight_analyze/0.1_0.3_0.6/ul_32290.xlsx","ul_32290")</f>
        <v>ul_32290</v>
      </c>
      <c r="B390">
        <v>0</v>
      </c>
      <c r="C390">
        <v>0</v>
      </c>
      <c r="D390">
        <v>0</v>
      </c>
      <c r="E390">
        <v>8.3333333333333329E-2</v>
      </c>
      <c r="F390">
        <v>0</v>
      </c>
      <c r="G390">
        <v>8.3333333333333329E-2</v>
      </c>
    </row>
    <row r="391" spans="1:7" x14ac:dyDescent="0.15">
      <c r="A391" t="str">
        <f>HYPERLINK("./new_k5/query_cmdrels_weight_analyze/0.1_0.3_0.6/ul_328882.xlsx","ul_328882")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HYPERLINK("./new_k5/query_cmdrels_weight_analyze/0.1_0.3_0.6/ul_35131.xlsx","ul_35131")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0.8666666666666667</v>
      </c>
    </row>
    <row r="393" spans="1:7" x14ac:dyDescent="0.15">
      <c r="A393" t="str">
        <f>HYPERLINK("./new_k5/query_cmdrels_weight_analyze/0.1_0.3_0.6/ul_35333.xlsx","ul_35333")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HYPERLINK("./new_k5/query_cmdrels_weight_analyze/0.1_0.3_0.6/ul_35711.xlsx","ul_35711")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HYPERLINK("./new_k5/query_cmdrels_weight_analyze/0.1_0.3_0.6/ul_3575.xlsx","ul_3575")</f>
        <v>ul_3575</v>
      </c>
      <c r="B395">
        <v>0</v>
      </c>
      <c r="C395">
        <v>0</v>
      </c>
      <c r="D395">
        <v>8.3333333333333329E-2</v>
      </c>
      <c r="E395">
        <v>8.3333333333333329E-2</v>
      </c>
      <c r="F395">
        <v>8.3333333333333329E-2</v>
      </c>
      <c r="G395">
        <v>8.3333333333333329E-2</v>
      </c>
    </row>
    <row r="396" spans="1:7" x14ac:dyDescent="0.15">
      <c r="A396" t="str">
        <f>HYPERLINK("./new_k5/query_cmdrels_weight_analyze/0.1_0.3_0.6/ul_35832.xlsx","ul_35832")</f>
        <v>ul_35832</v>
      </c>
      <c r="B396">
        <v>0.5</v>
      </c>
      <c r="C396">
        <v>0.5</v>
      </c>
      <c r="D396">
        <v>0.5</v>
      </c>
      <c r="E396">
        <v>1</v>
      </c>
      <c r="F396">
        <v>0.5</v>
      </c>
      <c r="G396">
        <v>1</v>
      </c>
    </row>
    <row r="397" spans="1:7" x14ac:dyDescent="0.15">
      <c r="A397" t="str">
        <f>HYPERLINK("./new_k5/query_cmdrels_weight_analyze/0.1_0.3_0.6/ul_370318.xlsx","ul_370318")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0.42857142857142849</v>
      </c>
      <c r="F397">
        <v>0.14285714285714279</v>
      </c>
      <c r="G397">
        <v>0.42857142857142849</v>
      </c>
    </row>
    <row r="398" spans="1:7" x14ac:dyDescent="0.15">
      <c r="A398" t="str">
        <f>HYPERLINK("./new_k5/query_cmdrels_weight_analyze/0.1_0.3_0.6/ul_37329.xlsx","ul_37329")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0.66666666666666663</v>
      </c>
      <c r="F398">
        <v>0.33333333333333331</v>
      </c>
      <c r="G398">
        <v>0.66666666666666663</v>
      </c>
    </row>
    <row r="399" spans="1:7" x14ac:dyDescent="0.15">
      <c r="A399" t="str">
        <f>HYPERLINK("./new_k5/query_cmdrels_weight_analyze/0.1_0.3_0.6/ul_38209.xlsx","ul_38209")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HYPERLINK("./new_k5/query_cmdrels_weight_analyze/0.1_0.3_0.6/ul_41246.xlsx","ul_41246")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HYPERLINK("./new_k5/query_cmdrels_weight_analyze/0.1_0.3_0.6/ul_41362.xlsx","ul_41362")</f>
        <v>ul_41362</v>
      </c>
      <c r="B401">
        <v>0</v>
      </c>
      <c r="C401">
        <v>0</v>
      </c>
      <c r="D401">
        <v>0</v>
      </c>
      <c r="E401">
        <v>8.3333333333333329E-2</v>
      </c>
      <c r="F401">
        <v>0</v>
      </c>
      <c r="G401">
        <v>8.3333333333333329E-2</v>
      </c>
    </row>
    <row r="402" spans="1:7" x14ac:dyDescent="0.15">
      <c r="A402" t="str">
        <f>HYPERLINK("./new_k5/query_cmdrels_weight_analyze/0.1_0.3_0.6/ul_48200.xlsx","ul_48200")</f>
        <v>ul_48200</v>
      </c>
      <c r="B402">
        <v>0</v>
      </c>
      <c r="C402">
        <v>0</v>
      </c>
      <c r="D402">
        <v>0</v>
      </c>
      <c r="E402">
        <v>0.16666666666666671</v>
      </c>
      <c r="F402">
        <v>0</v>
      </c>
      <c r="G402">
        <v>0.41666666666666657</v>
      </c>
    </row>
    <row r="403" spans="1:7" x14ac:dyDescent="0.15">
      <c r="A403" t="str">
        <f>HYPERLINK("./new_k5/query_cmdrels_weight_analyze/0.1_0.3_0.6/ul_50098.xlsx","ul_50098")</f>
        <v>ul_50098</v>
      </c>
      <c r="B403">
        <v>0</v>
      </c>
      <c r="C403">
        <v>0.1</v>
      </c>
      <c r="D403">
        <v>0.1166666666666667</v>
      </c>
      <c r="E403">
        <v>0.16666666666666671</v>
      </c>
      <c r="F403">
        <v>0.1166666666666667</v>
      </c>
      <c r="G403">
        <v>0.24166666666666661</v>
      </c>
    </row>
    <row r="404" spans="1:7" x14ac:dyDescent="0.15">
      <c r="A404" t="str">
        <f>HYPERLINK("./new_k5/query_cmdrels_weight_analyze/0.1_0.3_0.6/ul_50785.xlsx","ul_50785")</f>
        <v>ul_50785</v>
      </c>
      <c r="B404">
        <v>0.25</v>
      </c>
      <c r="C404">
        <v>0.25</v>
      </c>
      <c r="D404">
        <v>0.25</v>
      </c>
      <c r="E404">
        <v>0.75</v>
      </c>
      <c r="F404">
        <v>0.25</v>
      </c>
      <c r="G404">
        <v>0.75</v>
      </c>
    </row>
    <row r="405" spans="1:7" x14ac:dyDescent="0.15">
      <c r="A405" t="str">
        <f>HYPERLINK("./new_k5/query_cmdrels_weight_analyze/0.1_0.3_0.6/ul_5085.xlsx","ul_5085")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HYPERLINK("./new_k5/query_cmdrels_weight_analyze/0.1_0.3_0.6/ul_53737.xlsx","ul_53737")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HYPERLINK("./new_k5/query_cmdrels_weight_analyze/0.1_0.3_0.6/ul_55125.xlsx","ul_55125")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HYPERLINK("./new_k5/query_cmdrels_weight_analyze/0.1_0.3_0.6/ul_56453.xlsx","ul_56453")</f>
        <v>ul_56453</v>
      </c>
      <c r="B408">
        <v>0</v>
      </c>
      <c r="C408">
        <v>0</v>
      </c>
      <c r="D408">
        <v>8.3333333333333329E-2</v>
      </c>
      <c r="E408">
        <v>0.125</v>
      </c>
      <c r="F408">
        <v>8.3333333333333329E-2</v>
      </c>
      <c r="G408">
        <v>0.125</v>
      </c>
    </row>
    <row r="409" spans="1:7" x14ac:dyDescent="0.15">
      <c r="A409" t="str">
        <f>HYPERLINK("./new_k5/query_cmdrels_weight_analyze/0.1_0.3_0.6/ul_63648.xlsx","ul_63648")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HYPERLINK("./new_k5/query_cmdrels_weight_analyze/0.1_0.3_0.6/ul_6402.xlsx","ul_6402")</f>
        <v>ul_6402</v>
      </c>
      <c r="B410">
        <v>0.33333333333333331</v>
      </c>
      <c r="C410">
        <v>0</v>
      </c>
      <c r="D410">
        <v>0.33333333333333331</v>
      </c>
      <c r="E410">
        <v>0.16666666666666671</v>
      </c>
      <c r="F410">
        <v>0.33333333333333331</v>
      </c>
      <c r="G410">
        <v>0.16666666666666671</v>
      </c>
    </row>
    <row r="411" spans="1:7" x14ac:dyDescent="0.15">
      <c r="A411" t="str">
        <f>HYPERLINK("./new_k5/query_cmdrels_weight_analyze/0.1_0.3_0.6/ul_65106.xlsx","ul_65106")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0.8666666666666667</v>
      </c>
    </row>
    <row r="412" spans="1:7" x14ac:dyDescent="0.15">
      <c r="A412" t="str">
        <f>HYPERLINK("./new_k5/query_cmdrels_weight_analyze/0.1_0.3_0.6/ul_65932.xlsx","ul_65932")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HYPERLINK("./new_k5/query_cmdrels_weight_analyze/0.1_0.3_0.6/ul_6596.xlsx","ul_6596")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HYPERLINK("./new_k5/query_cmdrels_weight_analyze/0.1_0.3_0.6/ul_67503.xlsx","ul_67503")</f>
        <v>ul_67503</v>
      </c>
      <c r="B414">
        <v>0</v>
      </c>
      <c r="C414">
        <v>0.5</v>
      </c>
      <c r="D414">
        <v>0.25</v>
      </c>
      <c r="E414">
        <v>0.5</v>
      </c>
      <c r="F414">
        <v>0.5</v>
      </c>
      <c r="G414">
        <v>0.7</v>
      </c>
    </row>
    <row r="415" spans="1:7" x14ac:dyDescent="0.15">
      <c r="A415" t="str">
        <f>HYPERLINK("./new_k5/query_cmdrels_weight_analyze/0.1_0.3_0.6/ul_67592.xlsx","ul_67592")</f>
        <v>ul_67592</v>
      </c>
      <c r="B415">
        <v>0.33333333333333331</v>
      </c>
      <c r="C415">
        <v>0</v>
      </c>
      <c r="D415">
        <v>0.33333333333333331</v>
      </c>
      <c r="E415">
        <v>0.1111111111111111</v>
      </c>
      <c r="F415">
        <v>0.33333333333333331</v>
      </c>
      <c r="G415">
        <v>0.1111111111111111</v>
      </c>
    </row>
    <row r="416" spans="1:7" x14ac:dyDescent="0.15">
      <c r="A416" t="str">
        <f>HYPERLINK("./new_k5/query_cmdrels_weight_analyze/0.1_0.3_0.6/ul_70581.xlsx","ul_70581")</f>
        <v>ul_70581</v>
      </c>
      <c r="B416">
        <v>0</v>
      </c>
      <c r="C416">
        <v>0</v>
      </c>
      <c r="D416">
        <v>0.1</v>
      </c>
      <c r="E416">
        <v>6.6666666666666666E-2</v>
      </c>
      <c r="F416">
        <v>0.1</v>
      </c>
      <c r="G416">
        <v>0.28666666666666663</v>
      </c>
    </row>
    <row r="417" spans="1:7" x14ac:dyDescent="0.15">
      <c r="A417" t="str">
        <f>HYPERLINK("./new_k5/query_cmdrels_weight_analyze/0.1_0.3_0.6/ul_70614.xlsx","ul_70614")</f>
        <v>ul_70614</v>
      </c>
      <c r="B417">
        <v>1</v>
      </c>
      <c r="C417">
        <v>0</v>
      </c>
      <c r="D417">
        <v>1</v>
      </c>
      <c r="E417">
        <v>0.33333333333333331</v>
      </c>
      <c r="F417">
        <v>1</v>
      </c>
      <c r="G417">
        <v>0.33333333333333331</v>
      </c>
    </row>
    <row r="418" spans="1:7" x14ac:dyDescent="0.15">
      <c r="A418" t="str">
        <f>HYPERLINK("./new_k5/query_cmdrels_weight_analyze/0.1_0.3_0.6/ul_71465.xlsx","ul_71465")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HYPERLINK("./new_k5/query_cmdrels_weight_analyze/0.1_0.3_0.6/ul_7226.xlsx","ul_7226")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0.55555555555555547</v>
      </c>
      <c r="F419">
        <v>0.33333333333333331</v>
      </c>
      <c r="G419">
        <v>0.55555555555555547</v>
      </c>
    </row>
    <row r="420" spans="1:7" x14ac:dyDescent="0.15">
      <c r="A420" t="str">
        <f>HYPERLINK("./new_k5/query_cmdrels_weight_analyze/0.1_0.3_0.6/ul_78182.xlsx","ul_78182")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 t="str">
        <f>HYPERLINK("./new_k5/query_cmdrels_weight_analyze/0.1_0.3_0.6/ul_79678.xlsx","ul_79678")</f>
        <v>ul_79678</v>
      </c>
      <c r="B421">
        <v>0</v>
      </c>
      <c r="C421">
        <v>0</v>
      </c>
      <c r="D421">
        <v>0.25</v>
      </c>
      <c r="E421">
        <v>0.25</v>
      </c>
      <c r="F421">
        <v>0.25</v>
      </c>
      <c r="G421">
        <v>0.25</v>
      </c>
    </row>
    <row r="422" spans="1:7" x14ac:dyDescent="0.15">
      <c r="A422" t="str">
        <f>HYPERLINK("./new_k5/query_cmdrels_weight_analyze/0.1_0.3_0.6/ul_79702.xlsx","ul_79702")</f>
        <v>ul_79702</v>
      </c>
      <c r="B422">
        <v>0</v>
      </c>
      <c r="C422">
        <v>0.33333333333333331</v>
      </c>
      <c r="D422">
        <v>0</v>
      </c>
      <c r="E422">
        <v>0.55555555555555547</v>
      </c>
      <c r="F422">
        <v>0</v>
      </c>
      <c r="G422">
        <v>0.75555555555555554</v>
      </c>
    </row>
    <row r="423" spans="1:7" x14ac:dyDescent="0.15">
      <c r="A423" t="str">
        <f>HYPERLINK("./new_k5/query_cmdrels_weight_analyze/0.1_0.3_0.6/ul_83593.xlsx","ul_83593")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HYPERLINK("./new_k5/query_cmdrels_weight_analyze/0.1_0.3_0.6/ul_84381.xlsx","ul_84381")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HYPERLINK("./new_k5/query_cmdrels_weight_analyze/0.1_0.3_0.6/ul_85180.xlsx","ul_85180")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0.27777777777777768</v>
      </c>
    </row>
    <row r="426" spans="1:7" x14ac:dyDescent="0.15">
      <c r="A426" t="str">
        <f>HYPERLINK("./new_k5/query_cmdrels_weight_analyze/0.1_0.3_0.6/ul_86071.xlsx","ul_86071")</f>
        <v>ul_86071</v>
      </c>
      <c r="B426">
        <v>0</v>
      </c>
      <c r="C426">
        <v>0</v>
      </c>
      <c r="D426">
        <v>0</v>
      </c>
      <c r="E426">
        <v>0.16666666666666671</v>
      </c>
      <c r="F426">
        <v>0</v>
      </c>
      <c r="G426">
        <v>0.16666666666666671</v>
      </c>
    </row>
    <row r="427" spans="1:7" x14ac:dyDescent="0.15">
      <c r="A427" t="str">
        <f>HYPERLINK("./new_k5/query_cmdrels_weight_analyze/0.1_0.3_0.6/ul_86729.xlsx","ul_86729")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HYPERLINK("./new_k5/query_cmdrels_weight_analyze/0.1_0.3_0.6/ul_88824.xlsx","ul_88824")</f>
        <v>ul_88824</v>
      </c>
      <c r="B428">
        <v>0</v>
      </c>
      <c r="C428">
        <v>0</v>
      </c>
      <c r="D428">
        <v>0</v>
      </c>
      <c r="E428">
        <v>0.16666666666666671</v>
      </c>
      <c r="F428">
        <v>0</v>
      </c>
      <c r="G428">
        <v>0.33333333333333331</v>
      </c>
    </row>
    <row r="429" spans="1:7" x14ac:dyDescent="0.15">
      <c r="A429" t="str">
        <f>HYPERLINK("./new_k5/query_cmdrels_weight_analyze/0.1_0.3_0.6/ul_8945.xlsx","ul_8945")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HYPERLINK("./new_k5/query_cmdrels_weight_analyze/0.1_0.3_0.6/ul_89933.xlsx","ul_89933")</f>
        <v>ul_89933</v>
      </c>
      <c r="B430">
        <v>0.5</v>
      </c>
      <c r="C430">
        <v>0</v>
      </c>
      <c r="D430">
        <v>0.5</v>
      </c>
      <c r="E430">
        <v>0.25</v>
      </c>
      <c r="F430">
        <v>0.5</v>
      </c>
      <c r="G430">
        <v>0.25</v>
      </c>
    </row>
    <row r="431" spans="1:7" x14ac:dyDescent="0.15">
      <c r="A431" t="str">
        <f>HYPERLINK("./new_k5/query_cmdrels_weight_analyze/0.1_0.3_0.6/ul_91297.xlsx","ul_91297")</f>
        <v>ul_91297</v>
      </c>
      <c r="B431">
        <v>0</v>
      </c>
      <c r="C431">
        <v>0</v>
      </c>
      <c r="D431">
        <v>0</v>
      </c>
      <c r="E431">
        <v>0.5</v>
      </c>
      <c r="F431">
        <v>0</v>
      </c>
      <c r="G431">
        <v>0.5</v>
      </c>
    </row>
    <row r="432" spans="1:7" x14ac:dyDescent="0.15">
      <c r="A432" t="str">
        <f>HYPERLINK("./new_k5/query_cmdrels_weight_analyze/0.1_0.3_0.6/ul_9252.xlsx","ul_9252")</f>
        <v>ul_9252</v>
      </c>
      <c r="B432">
        <v>0</v>
      </c>
      <c r="C432">
        <v>0</v>
      </c>
      <c r="D432">
        <v>0.23333333333333331</v>
      </c>
      <c r="E432">
        <v>6.6666666666666666E-2</v>
      </c>
      <c r="F432">
        <v>0.23333333333333331</v>
      </c>
      <c r="G432">
        <v>0.1466666666666667</v>
      </c>
    </row>
    <row r="433" spans="1:7" x14ac:dyDescent="0.15">
      <c r="A433" t="str">
        <f>HYPERLINK("./new_k5/query_cmdrels_weight_analyze/0.1_0.3_0.6/ul_92560.xlsx","ul_92560")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0.7</v>
      </c>
    </row>
    <row r="434" spans="1:7" x14ac:dyDescent="0.15">
      <c r="A434" t="str">
        <f>HYPERLINK("./new_k5/query_cmdrels_weight_analyze/0.1_0.3_0.6/ul_92799.xlsx","ul_92799")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0.27777777777777768</v>
      </c>
      <c r="F434">
        <v>0.53611111111111109</v>
      </c>
      <c r="G434">
        <v>0.53611111111111109</v>
      </c>
    </row>
    <row r="435" spans="1:7" x14ac:dyDescent="0.15">
      <c r="A435" t="str">
        <f>HYPERLINK("./new_k5/query_cmdrels_weight_analyze/0.1_0.3_0.6/ul_93139.xlsx","ul_93139")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HYPERLINK("./new_k5/query_cmdrels_weight_analyze/0.1_0.3_0.6/ul_98461.xlsx","ul_98461")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HYPERLINK("./new_k5/query_cmdrels_weight_analyze/0.1_0.4_0.5/au_102733.xlsx","au_102733")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HYPERLINK("./new_k5/query_cmdrels_weight_analyze/0.1_0.4_0.5/au_1029436.xlsx","au_1029436")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HYPERLINK("./new_k5/query_cmdrels_weight_analyze/0.1_0.4_0.5/au_1029502.xlsx","au_1029502")</f>
        <v>au_1029502</v>
      </c>
      <c r="B5">
        <v>0.25</v>
      </c>
      <c r="C5">
        <v>0.25</v>
      </c>
      <c r="D5">
        <v>0.25</v>
      </c>
      <c r="E5">
        <v>0.25</v>
      </c>
      <c r="F5">
        <v>0.375</v>
      </c>
      <c r="G5">
        <v>0.25</v>
      </c>
    </row>
    <row r="6" spans="1:7" x14ac:dyDescent="0.15">
      <c r="A6" t="str">
        <f>HYPERLINK("./new_k5/query_cmdrels_weight_analyze/0.1_0.4_0.5/au_1029531.xlsx","au_1029531")</f>
        <v>au_1029531</v>
      </c>
      <c r="B6">
        <v>0.33333333333333331</v>
      </c>
      <c r="C6">
        <v>0</v>
      </c>
      <c r="D6">
        <v>0.33333333333333331</v>
      </c>
      <c r="E6">
        <v>0.16666666666666671</v>
      </c>
      <c r="F6">
        <v>0.46666666666666662</v>
      </c>
      <c r="G6">
        <v>0.16666666666666671</v>
      </c>
    </row>
    <row r="7" spans="1:7" x14ac:dyDescent="0.15">
      <c r="A7" t="str">
        <f>HYPERLINK("./new_k5/query_cmdrels_weight_analyze/0.1_0.4_0.5/au_104542.xlsx","au_104542")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HYPERLINK("./new_k5/query_cmdrels_weight_analyze/0.1_0.4_0.5/au_109070.xlsx","au_109070")</f>
        <v>au_109070</v>
      </c>
      <c r="B8">
        <v>0</v>
      </c>
      <c r="C8">
        <v>0</v>
      </c>
      <c r="D8">
        <v>0.23333333333333331</v>
      </c>
      <c r="E8">
        <v>0</v>
      </c>
      <c r="F8">
        <v>0.3833333333333333</v>
      </c>
      <c r="G8">
        <v>0.05</v>
      </c>
    </row>
    <row r="9" spans="1:7" x14ac:dyDescent="0.15">
      <c r="A9" t="str">
        <f>HYPERLINK("./new_k5/query_cmdrels_weight_analyze/0.1_0.4_0.5/au_109381.xlsx","au_109381")</f>
        <v>au_109381</v>
      </c>
      <c r="B9">
        <v>0</v>
      </c>
      <c r="C9">
        <v>0.5</v>
      </c>
      <c r="D9">
        <v>0.25</v>
      </c>
      <c r="E9">
        <v>0.5</v>
      </c>
      <c r="F9">
        <v>0.25</v>
      </c>
      <c r="G9">
        <v>0.5</v>
      </c>
    </row>
    <row r="10" spans="1:7" x14ac:dyDescent="0.15">
      <c r="A10" t="str">
        <f>HYPERLINK("./new_k5/query_cmdrels_weight_analyze/0.1_0.4_0.5/au_110477.xlsx","au_110477")</f>
        <v>au_110477</v>
      </c>
      <c r="B10">
        <v>0.25</v>
      </c>
      <c r="C10">
        <v>0.25</v>
      </c>
      <c r="D10">
        <v>0.5</v>
      </c>
      <c r="E10">
        <v>0.5</v>
      </c>
      <c r="F10">
        <v>0.5</v>
      </c>
      <c r="G10">
        <v>0.6875</v>
      </c>
    </row>
    <row r="11" spans="1:7" x14ac:dyDescent="0.15">
      <c r="A11" t="str">
        <f>HYPERLINK("./new_k5/query_cmdrels_weight_analyze/0.1_0.4_0.5/au_111678.xlsx","au_111678")</f>
        <v>au_111678</v>
      </c>
      <c r="B11">
        <v>0</v>
      </c>
      <c r="C11">
        <v>0</v>
      </c>
      <c r="D11">
        <v>0.1111111111111111</v>
      </c>
      <c r="E11">
        <v>0.16666666666666671</v>
      </c>
      <c r="F11">
        <v>0.1111111111111111</v>
      </c>
      <c r="G11">
        <v>0.16666666666666671</v>
      </c>
    </row>
    <row r="12" spans="1:7" x14ac:dyDescent="0.15">
      <c r="A12" t="str">
        <f>HYPERLINK("./new_k5/query_cmdrels_weight_analyze/0.1_0.4_0.5/au_112512.xlsx","au_112512")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HYPERLINK("./new_k5/query_cmdrels_weight_analyze/0.1_0.4_0.5/au_115369.xlsx","au_115369")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HYPERLINK("./new_k5/query_cmdrels_weight_analyze/0.1_0.4_0.5/au_11789.xlsx","au_11789")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HYPERLINK("./new_k5/query_cmdrels_weight_analyze/0.1_0.4_0.5/au_117950.xlsx","au_117950")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0.1</v>
      </c>
    </row>
    <row r="16" spans="1:7" x14ac:dyDescent="0.15">
      <c r="A16" t="str">
        <f>HYPERLINK("./new_k5/query_cmdrels_weight_analyze/0.1_0.4_0.5/au_122113.xlsx","au_122113")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HYPERLINK("./new_k5/query_cmdrels_weight_analyze/0.1_0.4_0.5/au_123798.xlsx","au_123798")</f>
        <v>au_123798</v>
      </c>
      <c r="B17">
        <v>0</v>
      </c>
      <c r="C17">
        <v>0</v>
      </c>
      <c r="D17">
        <v>5.5555555555555552E-2</v>
      </c>
      <c r="E17">
        <v>5.5555555555555552E-2</v>
      </c>
      <c r="F17">
        <v>0.23888888888888879</v>
      </c>
      <c r="G17">
        <v>0.23888888888888879</v>
      </c>
    </row>
    <row r="18" spans="1:7" x14ac:dyDescent="0.15">
      <c r="A18" t="str">
        <f>HYPERLINK("./new_k5/query_cmdrels_weight_analyze/0.1_0.4_0.5/au_125257.xlsx","au_125257")</f>
        <v>au_125257</v>
      </c>
      <c r="B18">
        <v>0.25</v>
      </c>
      <c r="C18">
        <v>0.25</v>
      </c>
      <c r="D18">
        <v>0.41666666666666657</v>
      </c>
      <c r="E18">
        <v>0.25</v>
      </c>
      <c r="F18">
        <v>0.56666666666666665</v>
      </c>
      <c r="G18">
        <v>0.375</v>
      </c>
    </row>
    <row r="19" spans="1:7" x14ac:dyDescent="0.15">
      <c r="A19" t="str">
        <f>HYPERLINK("./new_k5/query_cmdrels_weight_analyze/0.1_0.4_0.5/au_126153.xlsx","au_126153")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0.33333333333333331</v>
      </c>
      <c r="F19">
        <v>0.45833333333333331</v>
      </c>
      <c r="G19">
        <v>0.33333333333333331</v>
      </c>
    </row>
    <row r="20" spans="1:7" x14ac:dyDescent="0.15">
      <c r="A20" t="str">
        <f>HYPERLINK("./new_k5/query_cmdrels_weight_analyze/0.1_0.4_0.5/au_127326.xlsx","au_127326")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HYPERLINK("./new_k5/query_cmdrels_weight_analyze/0.1_0.4_0.5/au_128463.xlsx","au_128463")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HYPERLINK("./new_k5/query_cmdrels_weight_analyze/0.1_0.4_0.5/au_130393.xlsx","au_130393")</f>
        <v>au_130393</v>
      </c>
      <c r="B22">
        <v>0</v>
      </c>
      <c r="C22">
        <v>0.25</v>
      </c>
      <c r="D22">
        <v>0.125</v>
      </c>
      <c r="E22">
        <v>0.25</v>
      </c>
      <c r="F22">
        <v>0.125</v>
      </c>
      <c r="G22">
        <v>0.35</v>
      </c>
    </row>
    <row r="23" spans="1:7" x14ac:dyDescent="0.15">
      <c r="A23" t="str">
        <f>HYPERLINK("./new_k5/query_cmdrels_weight_analyze/0.1_0.4_0.5/au_131570.xlsx","au_131570")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HYPERLINK("./new_k5/query_cmdrels_weight_analyze/0.1_0.4_0.5/au_133318.xlsx","au_133318")</f>
        <v>au_133318</v>
      </c>
      <c r="B24">
        <v>0</v>
      </c>
      <c r="C24">
        <v>0.25</v>
      </c>
      <c r="D24">
        <v>0</v>
      </c>
      <c r="E24">
        <v>0.41666666666666657</v>
      </c>
      <c r="F24">
        <v>0</v>
      </c>
      <c r="G24">
        <v>0.41666666666666657</v>
      </c>
    </row>
    <row r="25" spans="1:7" x14ac:dyDescent="0.15">
      <c r="A25" t="str">
        <f>HYPERLINK("./new_k5/query_cmdrels_weight_analyze/0.1_0.4_0.5/au_133343.xlsx","au_133343")</f>
        <v>au_133343</v>
      </c>
      <c r="B25">
        <v>0</v>
      </c>
      <c r="C25">
        <v>0</v>
      </c>
      <c r="D25">
        <v>0</v>
      </c>
      <c r="E25">
        <v>0</v>
      </c>
      <c r="F25">
        <v>0</v>
      </c>
      <c r="G25">
        <v>0.2166666666666667</v>
      </c>
    </row>
    <row r="26" spans="1:7" x14ac:dyDescent="0.15">
      <c r="A26" t="str">
        <f>HYPERLINK("./new_k5/query_cmdrels_weight_analyze/0.1_0.4_0.5/au_133389.xlsx","au_133389")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HYPERLINK("./new_k5/query_cmdrels_weight_analyze/0.1_0.4_0.5/au_141277.xlsx","au_141277")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HYPERLINK("./new_k5/query_cmdrels_weight_analyze/0.1_0.4_0.5/au_143819.xlsx","au_143819")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0.32380952380952382</v>
      </c>
    </row>
    <row r="29" spans="1:7" x14ac:dyDescent="0.15">
      <c r="A29" t="str">
        <f>HYPERLINK("./new_k5/query_cmdrels_weight_analyze/0.1_0.4_0.5/au_145935.xlsx","au_145935")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HYPERLINK("./new_k5/query_cmdrels_weight_analyze/0.1_0.4_0.5/au_147241.xlsx","au_147241")</f>
        <v>au_147241</v>
      </c>
      <c r="B30">
        <v>0</v>
      </c>
      <c r="C30">
        <v>0</v>
      </c>
      <c r="D30">
        <v>0.29166666666666657</v>
      </c>
      <c r="E30">
        <v>8.3333333333333329E-2</v>
      </c>
      <c r="F30">
        <v>0.29166666666666657</v>
      </c>
      <c r="G30">
        <v>0.18333333333333329</v>
      </c>
    </row>
    <row r="31" spans="1:7" x14ac:dyDescent="0.15">
      <c r="A31" t="str">
        <f>HYPERLINK("./new_k5/query_cmdrels_weight_analyze/0.1_0.4_0.5/au_147800.xlsx","au_147800")</f>
        <v>au_147800</v>
      </c>
      <c r="B31">
        <v>0</v>
      </c>
      <c r="C31">
        <v>0</v>
      </c>
      <c r="D31">
        <v>0.1111111111111111</v>
      </c>
      <c r="E31">
        <v>0.1111111111111111</v>
      </c>
      <c r="F31">
        <v>0.1111111111111111</v>
      </c>
      <c r="G31">
        <v>0.1111111111111111</v>
      </c>
    </row>
    <row r="32" spans="1:7" x14ac:dyDescent="0.15">
      <c r="A32" t="str">
        <f>HYPERLINK("./new_k5/query_cmdrels_weight_analyze/0.1_0.4_0.5/au_148321.xlsx","au_148321")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0.27777777777777768</v>
      </c>
    </row>
    <row r="33" spans="1:7" x14ac:dyDescent="0.15">
      <c r="A33" t="str">
        <f>HYPERLINK("./new_k5/query_cmdrels_weight_analyze/0.1_0.4_0.5/au_148638.xlsx","au_148638")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HYPERLINK("./new_k5/query_cmdrels_weight_analyze/0.1_0.4_0.5/au_151049.xlsx","au_151049")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HYPERLINK("./new_k5/query_cmdrels_weight_analyze/0.1_0.4_0.5/au_151941.xlsx","au_151941")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HYPERLINK("./new_k5/query_cmdrels_weight_analyze/0.1_0.4_0.5/au_152297.xlsx","au_152297")</f>
        <v>au_152297</v>
      </c>
      <c r="B36">
        <v>0</v>
      </c>
      <c r="C36">
        <v>0.14285714285714279</v>
      </c>
      <c r="D36">
        <v>7.1428571428571425E-2</v>
      </c>
      <c r="E36">
        <v>0.23809523809523811</v>
      </c>
      <c r="F36">
        <v>7.1428571428571425E-2</v>
      </c>
      <c r="G36">
        <v>0.34523809523809518</v>
      </c>
    </row>
    <row r="37" spans="1:7" x14ac:dyDescent="0.15">
      <c r="A37" t="str">
        <f>HYPERLINK("./new_k5/query_cmdrels_weight_analyze/0.1_0.4_0.5/au_153976.xlsx","au_153976")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0.27777777777777768</v>
      </c>
      <c r="F37">
        <v>0.33333333333333331</v>
      </c>
      <c r="G37">
        <v>0.37777777777777782</v>
      </c>
    </row>
    <row r="38" spans="1:7" x14ac:dyDescent="0.15">
      <c r="A38" t="str">
        <f>HYPERLINK("./new_k5/query_cmdrels_weight_analyze/0.1_0.4_0.5/au_154431.xlsx","au_154431")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HYPERLINK("./new_k5/query_cmdrels_weight_analyze/0.1_0.4_0.5/au_159708.xlsx","au_159708")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0.55555555555555547</v>
      </c>
      <c r="F39">
        <v>0.33333333333333331</v>
      </c>
      <c r="G39">
        <v>0.55555555555555547</v>
      </c>
    </row>
    <row r="40" spans="1:7" x14ac:dyDescent="0.15">
      <c r="A40" t="str">
        <f>HYPERLINK("./new_k5/query_cmdrels_weight_analyze/0.1_0.4_0.5/au_160869.xlsx","au_160869")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HYPERLINK("./new_k5/query_cmdrels_weight_analyze/0.1_0.4_0.5/au_161313.xlsx","au_161313")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</v>
      </c>
    </row>
    <row r="42" spans="1:7" x14ac:dyDescent="0.15">
      <c r="A42" t="str">
        <f>HYPERLINK("./new_k5/query_cmdrels_weight_analyze/0.1_0.4_0.5/au_162075.xlsx","au_162075")</f>
        <v>au_162075</v>
      </c>
      <c r="B42">
        <v>0.25</v>
      </c>
      <c r="C42">
        <v>0</v>
      </c>
      <c r="D42">
        <v>0.5</v>
      </c>
      <c r="E42">
        <v>8.3333333333333329E-2</v>
      </c>
      <c r="F42">
        <v>0.5</v>
      </c>
      <c r="G42">
        <v>0.20833333333333329</v>
      </c>
    </row>
    <row r="43" spans="1:7" x14ac:dyDescent="0.15">
      <c r="A43" t="str">
        <f>HYPERLINK("./new_k5/query_cmdrels_weight_analyze/0.1_0.4_0.5/au_16277.xlsx","au_16277")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0.66666666666666663</v>
      </c>
    </row>
    <row r="44" spans="1:7" x14ac:dyDescent="0.15">
      <c r="A44" t="str">
        <f>HYPERLINK("./new_k5/query_cmdrels_weight_analyze/0.1_0.4_0.5/au_163155.xlsx","au_163155")</f>
        <v>au_163155</v>
      </c>
      <c r="B44">
        <v>0.125</v>
      </c>
      <c r="C44">
        <v>0.125</v>
      </c>
      <c r="D44">
        <v>0.375</v>
      </c>
      <c r="E44">
        <v>0.375</v>
      </c>
      <c r="F44">
        <v>0.5</v>
      </c>
      <c r="G44">
        <v>0.5</v>
      </c>
    </row>
    <row r="45" spans="1:7" x14ac:dyDescent="0.15">
      <c r="A45" t="str">
        <f>HYPERLINK("./new_k5/query_cmdrels_weight_analyze/0.1_0.4_0.5/au_164473.xlsx","au_164473")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HYPERLINK("./new_k5/query_cmdrels_weight_analyze/0.1_0.4_0.5/au_16584.xlsx","au_16584")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9.0909090909090912E-2</v>
      </c>
      <c r="F46">
        <v>0.13636363636363641</v>
      </c>
      <c r="G46">
        <v>9.0909090909090912E-2</v>
      </c>
    </row>
    <row r="47" spans="1:7" x14ac:dyDescent="0.15">
      <c r="A47" t="str">
        <f>HYPERLINK("./new_k5/query_cmdrels_weight_analyze/0.1_0.4_0.5/au_166420.xlsx","au_166420")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HYPERLINK("./new_k5/query_cmdrels_weight_analyze/0.1_0.4_0.5/au_169473.xlsx","au_169473")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0.33333333333333331</v>
      </c>
      <c r="F48">
        <v>0.43333333333333329</v>
      </c>
      <c r="G48">
        <v>0.33333333333333331</v>
      </c>
    </row>
    <row r="49" spans="1:7" x14ac:dyDescent="0.15">
      <c r="A49" t="str">
        <f>HYPERLINK("./new_k5/query_cmdrels_weight_analyze/0.1_0.4_0.5/au_169516.xlsx","au_169516")</f>
        <v>au_169516</v>
      </c>
      <c r="B49">
        <v>0.25</v>
      </c>
      <c r="C49">
        <v>0.25</v>
      </c>
      <c r="D49">
        <v>0.25</v>
      </c>
      <c r="E49">
        <v>0.5</v>
      </c>
      <c r="F49">
        <v>0.25</v>
      </c>
      <c r="G49">
        <v>0.5</v>
      </c>
    </row>
    <row r="50" spans="1:7" x14ac:dyDescent="0.15">
      <c r="A50" t="str">
        <f>HYPERLINK("./new_k5/query_cmdrels_weight_analyze/0.1_0.4_0.5/au_174292.xlsx","au_174292")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HYPERLINK("./new_k5/query_cmdrels_weight_analyze/0.1_0.4_0.5/au_178481.xlsx","au_178481")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HYPERLINK("./new_k5/query_cmdrels_weight_analyze/0.1_0.4_0.5/au_180925.xlsx","au_180925")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HYPERLINK("./new_k5/query_cmdrels_weight_analyze/0.1_0.4_0.5/au_187888.xlsx","au_187888")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HYPERLINK("./new_k5/query_cmdrels_weight_analyze/0.1_0.4_0.5/au_191390.xlsx","au_191390")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HYPERLINK("./new_k5/query_cmdrels_weight_analyze/0.1_0.4_0.5/au_192798.xlsx","au_192798")</f>
        <v>au_192798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15">
      <c r="A56" t="str">
        <f>HYPERLINK("./new_k5/query_cmdrels_weight_analyze/0.1_0.4_0.5/au_201775.xlsx","au_201775")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0.55555555555555547</v>
      </c>
      <c r="F56">
        <v>0.66666666666666663</v>
      </c>
      <c r="G56">
        <v>0.75555555555555554</v>
      </c>
    </row>
    <row r="57" spans="1:7" x14ac:dyDescent="0.15">
      <c r="A57" t="str">
        <f>HYPERLINK("./new_k5/query_cmdrels_weight_analyze/0.1_0.4_0.5/au_204166.xlsx","au_204166")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HYPERLINK("./new_k5/query_cmdrels_weight_analyze/0.1_0.4_0.5/au_207447.xlsx","au_207447")</f>
        <v>au_207447</v>
      </c>
      <c r="B58">
        <v>0.33333333333333331</v>
      </c>
      <c r="C58">
        <v>0.33333333333333331</v>
      </c>
      <c r="D58">
        <v>0.33333333333333331</v>
      </c>
      <c r="E58">
        <v>0.33333333333333331</v>
      </c>
      <c r="F58">
        <v>0.33333333333333331</v>
      </c>
      <c r="G58">
        <v>0.33333333333333331</v>
      </c>
    </row>
    <row r="59" spans="1:7" x14ac:dyDescent="0.15">
      <c r="A59" t="str">
        <f>HYPERLINK("./new_k5/query_cmdrels_weight_analyze/0.1_0.4_0.5/au_210680.xlsx","au_210680")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HYPERLINK("./new_k5/query_cmdrels_weight_analyze/0.1_0.4_0.5/au_214246.xlsx","au_214246")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0.4</v>
      </c>
    </row>
    <row r="61" spans="1:7" x14ac:dyDescent="0.15">
      <c r="A61" t="str">
        <f>HYPERLINK("./new_k5/query_cmdrels_weight_analyze/0.1_0.4_0.5/au_214643.xlsx","au_214643")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HYPERLINK("./new_k5/query_cmdrels_weight_analyze/0.1_0.4_0.5/au_2194.xlsx","au_2194")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HYPERLINK("./new_k5/query_cmdrels_weight_analyze/0.1_0.4_0.5/au_221962.xlsx","au_221962")</f>
        <v>au_221962</v>
      </c>
      <c r="B63">
        <v>0</v>
      </c>
      <c r="C63">
        <v>0</v>
      </c>
      <c r="D63">
        <v>5.5555555555555552E-2</v>
      </c>
      <c r="E63">
        <v>8.3333333333333329E-2</v>
      </c>
      <c r="F63">
        <v>0.1388888888888889</v>
      </c>
      <c r="G63">
        <v>0.26666666666666672</v>
      </c>
    </row>
    <row r="64" spans="1:7" x14ac:dyDescent="0.15">
      <c r="A64" t="str">
        <f>HYPERLINK("./new_k5/query_cmdrels_weight_analyze/0.1_0.4_0.5/au_22608.xlsx","au_22608")</f>
        <v>au_22608</v>
      </c>
      <c r="B64">
        <v>0.33333333333333331</v>
      </c>
      <c r="C64">
        <v>0.33333333333333331</v>
      </c>
      <c r="D64">
        <v>0.33333333333333331</v>
      </c>
      <c r="E64">
        <v>0.55555555555555547</v>
      </c>
      <c r="F64">
        <v>0.33333333333333331</v>
      </c>
      <c r="G64">
        <v>0.55555555555555547</v>
      </c>
    </row>
    <row r="65" spans="1:7" x14ac:dyDescent="0.15">
      <c r="A65" t="str">
        <f>HYPERLINK("./new_k5/query_cmdrels_weight_analyze/0.1_0.4_0.5/au_230698.xlsx","au_230698")</f>
        <v>au_230698</v>
      </c>
      <c r="B65">
        <v>0.125</v>
      </c>
      <c r="C65">
        <v>0.125</v>
      </c>
      <c r="D65">
        <v>0.25</v>
      </c>
      <c r="E65">
        <v>0.25</v>
      </c>
      <c r="F65">
        <v>0.32500000000000001</v>
      </c>
      <c r="G65">
        <v>0.34375</v>
      </c>
    </row>
    <row r="66" spans="1:7" x14ac:dyDescent="0.15">
      <c r="A66" t="str">
        <f>HYPERLINK("./new_k5/query_cmdrels_weight_analyze/0.1_0.4_0.5/au_232442.xlsx","au_232442")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HYPERLINK("./new_k5/query_cmdrels_weight_analyze/0.1_0.4_0.5/au_233378.xlsx","au_233378")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HYPERLINK("./new_k5/query_cmdrels_weight_analyze/0.1_0.4_0.5/au_24027.xlsx","au_24027")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HYPERLINK("./new_k5/query_cmdrels_weight_analyze/0.1_0.4_0.5/au_246647.xlsx","au_246647")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HYPERLINK("./new_k5/query_cmdrels_weight_analyze/0.1_0.4_0.5/au_254424.xlsx","au_254424")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HYPERLINK("./new_k5/query_cmdrels_weight_analyze/0.1_0.4_0.5/au_255890.xlsx","au_255890")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HYPERLINK("./new_k5/query_cmdrels_weight_analyze/0.1_0.4_0.5/au_257248.xlsx","au_257248")</f>
        <v>au_257248</v>
      </c>
      <c r="B72">
        <v>0</v>
      </c>
      <c r="C72">
        <v>0</v>
      </c>
      <c r="D72">
        <v>0.16666666666666671</v>
      </c>
      <c r="E72">
        <v>7.1428571428571425E-2</v>
      </c>
      <c r="F72">
        <v>0.25238095238095237</v>
      </c>
      <c r="G72">
        <v>0.12857142857142859</v>
      </c>
    </row>
    <row r="73" spans="1:7" x14ac:dyDescent="0.15">
      <c r="A73" t="str">
        <f>HYPERLINK("./new_k5/query_cmdrels_weight_analyze/0.1_0.4_0.5/au_259354.xlsx","au_259354")</f>
        <v>au_259354</v>
      </c>
      <c r="B73">
        <v>0</v>
      </c>
      <c r="C73">
        <v>0.14285714285714279</v>
      </c>
      <c r="D73">
        <v>0.16666666666666671</v>
      </c>
      <c r="E73">
        <v>0.2857142857142857</v>
      </c>
      <c r="F73">
        <v>0.27380952380952378</v>
      </c>
      <c r="G73">
        <v>0.39285714285714279</v>
      </c>
    </row>
    <row r="74" spans="1:7" x14ac:dyDescent="0.15">
      <c r="A74" t="str">
        <f>HYPERLINK("./new_k5/query_cmdrels_weight_analyze/0.1_0.4_0.5/au_263378.xlsx","au_263378")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0.5</v>
      </c>
    </row>
    <row r="75" spans="1:7" x14ac:dyDescent="0.15">
      <c r="A75" t="str">
        <f>HYPERLINK("./new_k5/query_cmdrels_weight_analyze/0.1_0.4_0.5/au_264215.xlsx","au_264215")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HYPERLINK("./new_k5/query_cmdrels_weight_analyze/0.1_0.4_0.5/au_265176.xlsx","au_265176")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HYPERLINK("./new_k5/query_cmdrels_weight_analyze/0.1_0.4_0.5/au_275704.xlsx","au_275704")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HYPERLINK("./new_k5/query_cmdrels_weight_analyze/0.1_0.4_0.5/au_276669.xlsx","au_276669")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HYPERLINK("./new_k5/query_cmdrels_weight_analyze/0.1_0.4_0.5/au_277565.xlsx","au_277565")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HYPERLINK("./new_k5/query_cmdrels_weight_analyze/0.1_0.4_0.5/au_278403.xlsx","au_278403")</f>
        <v>au_278403</v>
      </c>
      <c r="B80">
        <v>0</v>
      </c>
      <c r="C80">
        <v>0</v>
      </c>
      <c r="D80">
        <v>8.3333333333333329E-2</v>
      </c>
      <c r="E80">
        <v>8.3333333333333329E-2</v>
      </c>
      <c r="F80">
        <v>0.20833333333333329</v>
      </c>
      <c r="G80">
        <v>0.20833333333333329</v>
      </c>
    </row>
    <row r="81" spans="1:7" x14ac:dyDescent="0.15">
      <c r="A81" t="str">
        <f>HYPERLINK("./new_k5/query_cmdrels_weight_analyze/0.1_0.4_0.5/au_28039.xlsx","au_28039")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3.3333333333333333E-2</v>
      </c>
    </row>
    <row r="82" spans="1:7" x14ac:dyDescent="0.15">
      <c r="A82" t="str">
        <f>HYPERLINK("./new_k5/query_cmdrels_weight_analyze/0.1_0.4_0.5/au_281509.xlsx","au_281509")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HYPERLINK("./new_k5/query_cmdrels_weight_analyze/0.1_0.4_0.5/au_282806.xlsx","au_282806")</f>
        <v>au_282806</v>
      </c>
      <c r="B83">
        <v>0</v>
      </c>
      <c r="C83">
        <v>0.33333333333333331</v>
      </c>
      <c r="D83">
        <v>0.38888888888888878</v>
      </c>
      <c r="E83">
        <v>0.55555555555555547</v>
      </c>
      <c r="F83">
        <v>0.38888888888888878</v>
      </c>
      <c r="G83">
        <v>0.55555555555555547</v>
      </c>
    </row>
    <row r="84" spans="1:7" x14ac:dyDescent="0.15">
      <c r="A84" t="str">
        <f>HYPERLINK("./new_k5/query_cmdrels_weight_analyze/0.1_0.4_0.5/au_283559.xlsx","au_283559")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HYPERLINK("./new_k5/query_cmdrels_weight_analyze/0.1_0.4_0.5/au_285539.xlsx","au_285539")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HYPERLINK("./new_k5/query_cmdrels_weight_analyze/0.1_0.4_0.5/au_287532.xlsx","au_287532")</f>
        <v>au_287532</v>
      </c>
      <c r="B86">
        <v>0</v>
      </c>
      <c r="C86">
        <v>0.25</v>
      </c>
      <c r="D86">
        <v>0</v>
      </c>
      <c r="E86">
        <v>0.25</v>
      </c>
      <c r="F86">
        <v>0</v>
      </c>
      <c r="G86">
        <v>0.35</v>
      </c>
    </row>
    <row r="87" spans="1:7" x14ac:dyDescent="0.15">
      <c r="A87" t="str">
        <f>HYPERLINK("./new_k5/query_cmdrels_weight_analyze/0.1_0.4_0.5/au_294257.xlsx","au_294257")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0.42857142857142849</v>
      </c>
      <c r="F87">
        <v>0.7142857142857143</v>
      </c>
      <c r="G87">
        <v>0.54285714285714282</v>
      </c>
    </row>
    <row r="88" spans="1:7" x14ac:dyDescent="0.15">
      <c r="A88" t="str">
        <f>HYPERLINK("./new_k5/query_cmdrels_weight_analyze/0.1_0.4_0.5/au_296155.xlsx","au_296155")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HYPERLINK("./new_k5/query_cmdrels_weight_analyze/0.1_0.4_0.5/au_299975.xlsx","au_299975")</f>
        <v>au_299975</v>
      </c>
      <c r="B89">
        <v>0.25</v>
      </c>
      <c r="C89">
        <v>0</v>
      </c>
      <c r="D89">
        <v>0.5</v>
      </c>
      <c r="E89">
        <v>0.125</v>
      </c>
      <c r="F89">
        <v>0.6875</v>
      </c>
      <c r="G89">
        <v>0.125</v>
      </c>
    </row>
    <row r="90" spans="1:7" x14ac:dyDescent="0.15">
      <c r="A90" t="str">
        <f>HYPERLINK("./new_k5/query_cmdrels_weight_analyze/0.1_0.4_0.5/au_301096.xlsx","au_301096")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HYPERLINK("./new_k5/query_cmdrels_weight_analyze/0.1_0.4_0.5/au_303593.xlsx","au_303593")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HYPERLINK("./new_k5/query_cmdrels_weight_analyze/0.1_0.4_0.5/au_303849.xlsx","au_303849")</f>
        <v>au_303849</v>
      </c>
      <c r="B92">
        <v>0.1111111111111111</v>
      </c>
      <c r="C92">
        <v>0.1111111111111111</v>
      </c>
      <c r="D92">
        <v>0.1111111111111111</v>
      </c>
      <c r="E92">
        <v>0.1111111111111111</v>
      </c>
      <c r="F92">
        <v>0.1111111111111111</v>
      </c>
      <c r="G92">
        <v>0.16666666666666671</v>
      </c>
    </row>
    <row r="93" spans="1:7" x14ac:dyDescent="0.15">
      <c r="A93" t="str">
        <f>HYPERLINK("./new_k5/query_cmdrels_weight_analyze/0.1_0.4_0.5/au_307541.xlsx","au_307541")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HYPERLINK("./new_k5/query_cmdrels_weight_analyze/0.1_0.4_0.5/au_307688.xlsx","au_307688")</f>
        <v>au_307688</v>
      </c>
      <c r="B94">
        <v>0.2</v>
      </c>
      <c r="C94">
        <v>0.2</v>
      </c>
      <c r="D94">
        <v>0.33333333333333331</v>
      </c>
      <c r="E94">
        <v>0.2</v>
      </c>
      <c r="F94">
        <v>0.33333333333333331</v>
      </c>
      <c r="G94">
        <v>0.2</v>
      </c>
    </row>
    <row r="95" spans="1:7" x14ac:dyDescent="0.15">
      <c r="A95" t="str">
        <f>HYPERLINK("./new_k5/query_cmdrels_weight_analyze/0.1_0.4_0.5/au_309047.xlsx","au_309047")</f>
        <v>au_309047</v>
      </c>
      <c r="B95">
        <v>0.25</v>
      </c>
      <c r="C95">
        <v>0.25</v>
      </c>
      <c r="D95">
        <v>0.25</v>
      </c>
      <c r="E95">
        <v>0.41666666666666657</v>
      </c>
      <c r="F95">
        <v>0.25</v>
      </c>
      <c r="G95">
        <v>0.41666666666666657</v>
      </c>
    </row>
    <row r="96" spans="1:7" x14ac:dyDescent="0.15">
      <c r="A96" t="str">
        <f>HYPERLINK("./new_k5/query_cmdrels_weight_analyze/0.1_0.4_0.5/au_311558.xlsx","au_311558")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0.41666666666666657</v>
      </c>
    </row>
    <row r="97" spans="1:7" x14ac:dyDescent="0.15">
      <c r="A97" t="str">
        <f>HYPERLINK("./new_k5/query_cmdrels_weight_analyze/0.1_0.4_0.5/au_318973.xlsx","au_318973")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HYPERLINK("./new_k5/query_cmdrels_weight_analyze/0.1_0.4_0.5/au_3205.xlsx","au_3205")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HYPERLINK("./new_k5/query_cmdrels_weight_analyze/0.1_0.4_0.5/au_323131.xlsx","au_323131")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HYPERLINK("./new_k5/query_cmdrels_weight_analyze/0.1_0.4_0.5/au_323392.xlsx","au_323392")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0.47499999999999998</v>
      </c>
    </row>
    <row r="101" spans="1:7" x14ac:dyDescent="0.15">
      <c r="A101" t="str">
        <f>HYPERLINK("./new_k5/query_cmdrels_weight_analyze/0.1_0.4_0.5/au_325368.xlsx","au_325368")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HYPERLINK("./new_k5/query_cmdrels_weight_analyze/0.1_0.4_0.5/au_328162.xlsx","au_328162")</f>
        <v>au_328162</v>
      </c>
      <c r="B102">
        <v>0.33333333333333331</v>
      </c>
      <c r="C102">
        <v>0.33333333333333331</v>
      </c>
      <c r="D102">
        <v>1</v>
      </c>
      <c r="E102">
        <v>0.55555555555555547</v>
      </c>
      <c r="F102">
        <v>1</v>
      </c>
      <c r="G102">
        <v>0.80555555555555547</v>
      </c>
    </row>
    <row r="103" spans="1:7" x14ac:dyDescent="0.15">
      <c r="A103" t="str">
        <f>HYPERLINK("./new_k5/query_cmdrels_weight_analyze/0.1_0.4_0.5/au_330148.xlsx","au_330148")</f>
        <v>au_330148</v>
      </c>
      <c r="B103">
        <v>0</v>
      </c>
      <c r="C103">
        <v>0.2</v>
      </c>
      <c r="D103">
        <v>0.23333333333333331</v>
      </c>
      <c r="E103">
        <v>0.33333333333333331</v>
      </c>
      <c r="F103">
        <v>0.54333333333333333</v>
      </c>
      <c r="G103">
        <v>0.33333333333333331</v>
      </c>
    </row>
    <row r="104" spans="1:7" x14ac:dyDescent="0.15">
      <c r="A104" t="str">
        <f>HYPERLINK("./new_k5/query_cmdrels_weight_analyze/0.1_0.4_0.5/au_332315.xlsx","au_332315")</f>
        <v>au_332315</v>
      </c>
      <c r="B104">
        <v>0.33333333333333331</v>
      </c>
      <c r="C104">
        <v>0.33333333333333331</v>
      </c>
      <c r="D104">
        <v>0.55555555555555547</v>
      </c>
      <c r="E104">
        <v>0.33333333333333331</v>
      </c>
      <c r="F104">
        <v>0.75555555555555554</v>
      </c>
      <c r="G104">
        <v>0.33333333333333331</v>
      </c>
    </row>
    <row r="105" spans="1:7" x14ac:dyDescent="0.15">
      <c r="A105" t="str">
        <f>HYPERLINK("./new_k5/query_cmdrels_weight_analyze/0.1_0.4_0.5/au_334081.xlsx","au_334081")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HYPERLINK("./new_k5/query_cmdrels_weight_analyze/0.1_0.4_0.5/au_34077.xlsx","au_34077")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0.5</v>
      </c>
      <c r="F106">
        <v>0.33333333333333331</v>
      </c>
      <c r="G106">
        <v>0.6333333333333333</v>
      </c>
    </row>
    <row r="107" spans="1:7" x14ac:dyDescent="0.15">
      <c r="A107" t="str">
        <f>HYPERLINK("./new_k5/query_cmdrels_weight_analyze/0.1_0.4_0.5/au_341428.xlsx","au_341428")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HYPERLINK("./new_k5/query_cmdrels_weight_analyze/0.1_0.4_0.5/au_341584.xlsx","au_341584")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HYPERLINK("./new_k5/query_cmdrels_weight_analyze/0.1_0.4_0.5/au_346864.xlsx","au_346864")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0.2857142857142857</v>
      </c>
      <c r="F109">
        <v>0.23809523809523811</v>
      </c>
      <c r="G109">
        <v>0.39285714285714279</v>
      </c>
    </row>
    <row r="110" spans="1:7" x14ac:dyDescent="0.15">
      <c r="A110" t="str">
        <f>HYPERLINK("./new_k5/query_cmdrels_weight_analyze/0.1_0.4_0.5/au_351765.xlsx","au_351765")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0.5</v>
      </c>
    </row>
    <row r="111" spans="1:7" x14ac:dyDescent="0.15">
      <c r="A111" t="str">
        <f>HYPERLINK("./new_k5/query_cmdrels_weight_analyze/0.1_0.4_0.5/au_35922.xlsx","au_35922")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HYPERLINK("./new_k5/query_cmdrels_weight_analyze/0.1_0.4_0.5/au_359856.xlsx","au_359856")</f>
        <v>au_359856</v>
      </c>
      <c r="B112">
        <v>0.25</v>
      </c>
      <c r="C112">
        <v>0.25</v>
      </c>
      <c r="D112">
        <v>0.75</v>
      </c>
      <c r="E112">
        <v>0.25</v>
      </c>
      <c r="F112">
        <v>0.95</v>
      </c>
      <c r="G112">
        <v>0.375</v>
      </c>
    </row>
    <row r="113" spans="1:7" x14ac:dyDescent="0.15">
      <c r="A113" t="str">
        <f>HYPERLINK("./new_k5/query_cmdrels_weight_analyze/0.1_0.4_0.5/au_360423.xlsx","au_360423")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HYPERLINK("./new_k5/query_cmdrels_weight_analyze/0.1_0.4_0.5/au_36287.xlsx","au_36287")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HYPERLINK("./new_k5/query_cmdrels_weight_analyze/0.1_0.4_0.5/au_366742.xlsx","au_366742")</f>
        <v>au_366742</v>
      </c>
      <c r="B115">
        <v>0</v>
      </c>
      <c r="C115">
        <v>0.25</v>
      </c>
      <c r="D115">
        <v>0</v>
      </c>
      <c r="E115">
        <v>0.25</v>
      </c>
      <c r="F115">
        <v>0</v>
      </c>
      <c r="G115">
        <v>0.25</v>
      </c>
    </row>
    <row r="116" spans="1:7" x14ac:dyDescent="0.15">
      <c r="A116" t="str">
        <f>HYPERLINK("./new_k5/query_cmdrels_weight_analyze/0.1_0.4_0.5/au_377937.xlsx","au_377937")</f>
        <v>au_377937</v>
      </c>
      <c r="B116">
        <v>0.25</v>
      </c>
      <c r="C116">
        <v>0.25</v>
      </c>
      <c r="D116">
        <v>0.5</v>
      </c>
      <c r="E116">
        <v>0.5</v>
      </c>
      <c r="F116">
        <v>0.5</v>
      </c>
      <c r="G116">
        <v>0.6875</v>
      </c>
    </row>
    <row r="117" spans="1:7" x14ac:dyDescent="0.15">
      <c r="A117" t="str">
        <f>HYPERLINK("./new_k5/query_cmdrels_weight_analyze/0.1_0.4_0.5/au_383997.xlsx","au_383997")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0.50714285714285712</v>
      </c>
    </row>
    <row r="118" spans="1:7" x14ac:dyDescent="0.15">
      <c r="A118" t="str">
        <f>HYPERLINK("./new_k5/query_cmdrels_weight_analyze/0.1_0.4_0.5/au_3883.xlsx","au_3883")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0.35</v>
      </c>
    </row>
    <row r="119" spans="1:7" x14ac:dyDescent="0.15">
      <c r="A119" t="str">
        <f>HYPERLINK("./new_k5/query_cmdrels_weight_analyze/0.1_0.4_0.5/au_396883.xlsx","au_396883")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HYPERLINK("./new_k5/query_cmdrels_weight_analyze/0.1_0.4_0.5/au_39760.xlsx","au_39760")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HYPERLINK("./new_k5/query_cmdrels_weight_analyze/0.1_0.4_0.5/au_398818.xlsx","au_398818")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HYPERLINK("./new_k5/query_cmdrels_weight_analyze/0.1_0.4_0.5/au_400807.xlsx","au_400807")</f>
        <v>au_400807</v>
      </c>
      <c r="B122">
        <v>0</v>
      </c>
      <c r="C122">
        <v>0.33333333333333331</v>
      </c>
      <c r="D122">
        <v>0.16666666666666671</v>
      </c>
      <c r="E122">
        <v>0.33333333333333331</v>
      </c>
      <c r="F122">
        <v>0.16666666666666671</v>
      </c>
      <c r="G122">
        <v>0.33333333333333331</v>
      </c>
    </row>
    <row r="123" spans="1:7" x14ac:dyDescent="0.15">
      <c r="A123" t="str">
        <f>HYPERLINK("./new_k5/query_cmdrels_weight_analyze/0.1_0.4_0.5/au_408611.xlsx","au_408611")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HYPERLINK("./new_k5/query_cmdrels_weight_analyze/0.1_0.4_0.5/au_414737.xlsx","au_414737")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HYPERLINK("./new_k5/query_cmdrels_weight_analyze/0.1_0.4_0.5/au_420722.xlsx","au_420722")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HYPERLINK("./new_k5/query_cmdrels_weight_analyze/0.1_0.4_0.5/au_423942.xlsx","au_423942")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HYPERLINK("./new_k5/query_cmdrels_weight_analyze/0.1_0.4_0.5/au_430382.xlsx","au_430382")</f>
        <v>au_430382</v>
      </c>
      <c r="B127">
        <v>0</v>
      </c>
      <c r="C127">
        <v>0</v>
      </c>
      <c r="D127">
        <v>0.29166666666666657</v>
      </c>
      <c r="E127">
        <v>0.29166666666666657</v>
      </c>
      <c r="F127">
        <v>0.29166666666666657</v>
      </c>
      <c r="G127">
        <v>0.29166666666666657</v>
      </c>
    </row>
    <row r="128" spans="1:7" x14ac:dyDescent="0.15">
      <c r="A128" t="str">
        <f>HYPERLINK("./new_k5/query_cmdrels_weight_analyze/0.1_0.4_0.5/au_432836.xlsx","au_432836")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0.14285714285714279</v>
      </c>
      <c r="F128">
        <v>0.2142857142857143</v>
      </c>
      <c r="G128">
        <v>0.14285714285714279</v>
      </c>
    </row>
    <row r="129" spans="1:7" x14ac:dyDescent="0.15">
      <c r="A129" t="str">
        <f>HYPERLINK("./new_k5/query_cmdrels_weight_analyze/0.1_0.4_0.5/au_440326.xlsx","au_440326")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HYPERLINK("./new_k5/query_cmdrels_weight_analyze/0.1_0.4_0.5/au_442914.xlsx","au_442914")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HYPERLINK("./new_k5/query_cmdrels_weight_analyze/0.1_0.4_0.5/au_443227.xlsx","au_443227")</f>
        <v>au_443227</v>
      </c>
      <c r="B131">
        <v>0.5</v>
      </c>
      <c r="C131">
        <v>0</v>
      </c>
      <c r="D131">
        <v>0.5</v>
      </c>
      <c r="E131">
        <v>0.25</v>
      </c>
      <c r="F131">
        <v>0.5</v>
      </c>
      <c r="G131">
        <v>0.25</v>
      </c>
    </row>
    <row r="132" spans="1:7" x14ac:dyDescent="0.15">
      <c r="A132" t="str">
        <f>HYPERLINK("./new_k5/query_cmdrels_weight_analyze/0.1_0.4_0.5/au_44534.xlsx","au_44534")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0.3666666666666667</v>
      </c>
    </row>
    <row r="133" spans="1:7" x14ac:dyDescent="0.15">
      <c r="A133" t="str">
        <f>HYPERLINK("./new_k5/query_cmdrels_weight_analyze/0.1_0.4_0.5/au_451805.xlsx","au_451805")</f>
        <v>au_451805</v>
      </c>
      <c r="B133">
        <v>0.33333333333333331</v>
      </c>
      <c r="C133">
        <v>0.33333333333333331</v>
      </c>
      <c r="D133">
        <v>0.33333333333333331</v>
      </c>
      <c r="E133">
        <v>0.33333333333333331</v>
      </c>
      <c r="F133">
        <v>0.33333333333333331</v>
      </c>
      <c r="G133">
        <v>0.33333333333333331</v>
      </c>
    </row>
    <row r="134" spans="1:7" x14ac:dyDescent="0.15">
      <c r="A134" t="str">
        <f>HYPERLINK("./new_k5/query_cmdrels_weight_analyze/0.1_0.4_0.5/au_464264.xlsx","au_464264")</f>
        <v>au_464264</v>
      </c>
      <c r="B134">
        <v>0.2</v>
      </c>
      <c r="C134">
        <v>0</v>
      </c>
      <c r="D134">
        <v>0.33333333333333331</v>
      </c>
      <c r="E134">
        <v>0</v>
      </c>
      <c r="F134">
        <v>0.48333333333333328</v>
      </c>
      <c r="G134">
        <v>0.05</v>
      </c>
    </row>
    <row r="135" spans="1:7" x14ac:dyDescent="0.15">
      <c r="A135" t="str">
        <f>HYPERLINK("./new_k5/query_cmdrels_weight_analyze/0.1_0.4_0.5/au_468808.xlsx","au_468808")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HYPERLINK("./new_k5/query_cmdrels_weight_analyze/0.1_0.4_0.5/au_469143.xlsx","au_469143")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0.64333333333333331</v>
      </c>
    </row>
    <row r="137" spans="1:7" x14ac:dyDescent="0.15">
      <c r="A137" t="str">
        <f>HYPERLINK("./new_k5/query_cmdrels_weight_analyze/0.1_0.4_0.5/au_470237.xlsx","au_470237")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HYPERLINK("./new_k5/query_cmdrels_weight_analyze/0.1_0.4_0.5/au_473037.xlsx","au_473037")</f>
        <v>au_473037</v>
      </c>
      <c r="B138">
        <v>0.5</v>
      </c>
      <c r="C138">
        <v>0.5</v>
      </c>
      <c r="D138">
        <v>0.83333333333333326</v>
      </c>
      <c r="E138">
        <v>0.5</v>
      </c>
      <c r="F138">
        <v>0.83333333333333326</v>
      </c>
      <c r="G138">
        <v>0.5</v>
      </c>
    </row>
    <row r="139" spans="1:7" x14ac:dyDescent="0.15">
      <c r="A139" t="str">
        <f>HYPERLINK("./new_k5/query_cmdrels_weight_analyze/0.1_0.4_0.5/au_48362.xlsx","au_48362")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HYPERLINK("./new_k5/query_cmdrels_weight_analyze/0.1_0.4_0.5/au_488435.xlsx","au_488435")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HYPERLINK("./new_k5/query_cmdrels_weight_analyze/0.1_0.4_0.5/au_493826.xlsx","au_493826")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HYPERLINK("./new_k5/query_cmdrels_weight_analyze/0.1_0.4_0.5/au_502110.xlsx","au_502110")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HYPERLINK("./new_k5/query_cmdrels_weight_analyze/0.1_0.4_0.5/au_50344.xlsx","au_50344")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HYPERLINK("./new_k5/query_cmdrels_weight_analyze/0.1_0.4_0.5/au_511467.xlsx","au_511467")</f>
        <v>au_511467</v>
      </c>
      <c r="B144">
        <v>0</v>
      </c>
      <c r="C144">
        <v>0.16666666666666671</v>
      </c>
      <c r="D144">
        <v>0.19444444444444439</v>
      </c>
      <c r="E144">
        <v>0.16666666666666671</v>
      </c>
      <c r="F144">
        <v>0.19444444444444439</v>
      </c>
      <c r="G144">
        <v>0.16666666666666671</v>
      </c>
    </row>
    <row r="145" spans="1:7" x14ac:dyDescent="0.15">
      <c r="A145" t="str">
        <f>HYPERLINK("./new_k5/query_cmdrels_weight_analyze/0.1_0.4_0.5/au_513046.xlsx","au_513046")</f>
        <v>au_513046</v>
      </c>
      <c r="B145">
        <v>0.25</v>
      </c>
      <c r="C145">
        <v>0</v>
      </c>
      <c r="D145">
        <v>0.5</v>
      </c>
      <c r="E145">
        <v>8.3333333333333329E-2</v>
      </c>
      <c r="F145">
        <v>0.5</v>
      </c>
      <c r="G145">
        <v>0.20833333333333329</v>
      </c>
    </row>
    <row r="146" spans="1:7" x14ac:dyDescent="0.15">
      <c r="A146" t="str">
        <f>HYPERLINK("./new_k5/query_cmdrels_weight_analyze/0.1_0.4_0.5/au_517354.xlsx","au_517354")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0.34523809523809518</v>
      </c>
    </row>
    <row r="147" spans="1:7" x14ac:dyDescent="0.15">
      <c r="A147" t="str">
        <f>HYPERLINK("./new_k5/query_cmdrels_weight_analyze/0.1_0.4_0.5/au_522431.xlsx","au_522431")</f>
        <v>au_522431</v>
      </c>
      <c r="B147">
        <v>0</v>
      </c>
      <c r="C147">
        <v>0</v>
      </c>
      <c r="D147">
        <v>0.23333333333333331</v>
      </c>
      <c r="E147">
        <v>0.23333333333333331</v>
      </c>
      <c r="F147">
        <v>0.54333333333333333</v>
      </c>
      <c r="G147">
        <v>0.3833333333333333</v>
      </c>
    </row>
    <row r="148" spans="1:7" x14ac:dyDescent="0.15">
      <c r="A148" t="str">
        <f>HYPERLINK("./new_k5/query_cmdrels_weight_analyze/0.1_0.4_0.5/au_52773.xlsx","au_52773")</f>
        <v>au_52773</v>
      </c>
      <c r="B148">
        <v>0</v>
      </c>
      <c r="C148">
        <v>0.2</v>
      </c>
      <c r="D148">
        <v>0.23333333333333331</v>
      </c>
      <c r="E148">
        <v>0.2</v>
      </c>
      <c r="F148">
        <v>0.23333333333333331</v>
      </c>
      <c r="G148">
        <v>0.28000000000000003</v>
      </c>
    </row>
    <row r="149" spans="1:7" x14ac:dyDescent="0.15">
      <c r="A149" t="str">
        <f>HYPERLINK("./new_k5/query_cmdrels_weight_analyze/0.1_0.4_0.5/au_528411.xlsx","au_528411")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HYPERLINK("./new_k5/query_cmdrels_weight_analyze/0.1_0.4_0.5/au_53263.xlsx","au_53263")</f>
        <v>au_53263</v>
      </c>
      <c r="B150">
        <v>0.25</v>
      </c>
      <c r="C150">
        <v>0.25</v>
      </c>
      <c r="D150">
        <v>0.75</v>
      </c>
      <c r="E150">
        <v>0.5</v>
      </c>
      <c r="F150">
        <v>0.75</v>
      </c>
      <c r="G150">
        <v>0.6875</v>
      </c>
    </row>
    <row r="151" spans="1:7" x14ac:dyDescent="0.15">
      <c r="A151" t="str">
        <f>HYPERLINK("./new_k5/query_cmdrels_weight_analyze/0.1_0.4_0.5/au_53444.xlsx","au_53444")</f>
        <v>au_53444</v>
      </c>
      <c r="B151">
        <v>0.5</v>
      </c>
      <c r="C151">
        <v>0</v>
      </c>
      <c r="D151">
        <v>0.5</v>
      </c>
      <c r="E151">
        <v>0</v>
      </c>
      <c r="F151">
        <v>0.5</v>
      </c>
      <c r="G151">
        <v>0.1</v>
      </c>
    </row>
    <row r="152" spans="1:7" x14ac:dyDescent="0.15">
      <c r="A152" t="str">
        <f>HYPERLINK("./new_k5/query_cmdrels_weight_analyze/0.1_0.4_0.5/au_538208.xlsx","au_538208")</f>
        <v>au_538208</v>
      </c>
      <c r="B152">
        <v>0.125</v>
      </c>
      <c r="C152">
        <v>0.125</v>
      </c>
      <c r="D152">
        <v>0.375</v>
      </c>
      <c r="E152">
        <v>0.375</v>
      </c>
      <c r="F152">
        <v>0.5</v>
      </c>
      <c r="G152">
        <v>0.625</v>
      </c>
    </row>
    <row r="153" spans="1:7" x14ac:dyDescent="0.15">
      <c r="A153" t="str">
        <f>HYPERLINK("./new_k5/query_cmdrels_weight_analyze/0.1_0.4_0.5/au_53822.xlsx","au_53822")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HYPERLINK("./new_k5/query_cmdrels_weight_analyze/0.1_0.4_0.5/au_539243.xlsx","au_539243")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0.33333333333333331</v>
      </c>
    </row>
    <row r="155" spans="1:7" x14ac:dyDescent="0.15">
      <c r="A155" t="str">
        <f>HYPERLINK("./new_k5/query_cmdrels_weight_analyze/0.1_0.4_0.5/au_558280.xlsx","au_558280")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HYPERLINK("./new_k5/query_cmdrels_weight_analyze/0.1_0.4_0.5/au_558669.xlsx","au_558669")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HYPERLINK("./new_k5/query_cmdrels_weight_analyze/0.1_0.4_0.5/au_55868.xlsx","au_55868")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HYPERLINK("./new_k5/query_cmdrels_weight_analyze/0.1_0.4_0.5/au_561.xlsx","au_561")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0.5</v>
      </c>
    </row>
    <row r="159" spans="1:7" x14ac:dyDescent="0.15">
      <c r="A159" t="str">
        <f>HYPERLINK("./new_k5/query_cmdrels_weight_analyze/0.1_0.4_0.5/au_564567.xlsx","au_564567")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HYPERLINK("./new_k5/query_cmdrels_weight_analyze/0.1_0.4_0.5/au_57994.xlsx","au_57994")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0.23809523809523811</v>
      </c>
      <c r="F160">
        <v>0.5714285714285714</v>
      </c>
      <c r="G160">
        <v>0.45952380952380961</v>
      </c>
    </row>
    <row r="161" spans="1:7" x14ac:dyDescent="0.15">
      <c r="A161" t="str">
        <f>HYPERLINK("./new_k5/query_cmdrels_weight_analyze/0.1_0.4_0.5/au_589210.xlsx","au_589210")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0.375</v>
      </c>
    </row>
    <row r="162" spans="1:7" x14ac:dyDescent="0.15">
      <c r="A162" t="str">
        <f>HYPERLINK("./new_k5/query_cmdrels_weight_analyze/0.1_0.4_0.5/au_5911.xlsx","au_5911")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HYPERLINK("./new_k5/query_cmdrels_weight_analyze/0.1_0.4_0.5/au_59356.xlsx","au_59356")</f>
        <v>au_59356</v>
      </c>
      <c r="B163">
        <v>0</v>
      </c>
      <c r="C163">
        <v>0</v>
      </c>
      <c r="D163">
        <v>0.16666666666666671</v>
      </c>
      <c r="E163">
        <v>0</v>
      </c>
      <c r="F163">
        <v>0.16666666666666671</v>
      </c>
      <c r="G163">
        <v>0.125</v>
      </c>
    </row>
    <row r="164" spans="1:7" x14ac:dyDescent="0.15">
      <c r="A164" t="str">
        <f>HYPERLINK("./new_k5/query_cmdrels_weight_analyze/0.1_0.4_0.5/au_609850.xlsx","au_609850")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HYPERLINK("./new_k5/query_cmdrels_weight_analyze/0.1_0.4_0.5/au_61408.xlsx","au_61408")</f>
        <v>au_61408</v>
      </c>
      <c r="B165">
        <v>0</v>
      </c>
      <c r="C165">
        <v>0.33333333333333331</v>
      </c>
      <c r="D165">
        <v>0.16666666666666671</v>
      </c>
      <c r="E165">
        <v>0.55555555555555547</v>
      </c>
      <c r="F165">
        <v>0.16666666666666671</v>
      </c>
      <c r="G165">
        <v>0.55555555555555547</v>
      </c>
    </row>
    <row r="166" spans="1:7" x14ac:dyDescent="0.15">
      <c r="A166" t="str">
        <f>HYPERLINK("./new_k5/query_cmdrels_weight_analyze/0.1_0.4_0.5/au_617850.xlsx","au_617850")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HYPERLINK("./new_k5/query_cmdrels_weight_analyze/0.1_0.4_0.5/au_62073.xlsx","au_62073")</f>
        <v>au_62073</v>
      </c>
      <c r="B167">
        <v>0</v>
      </c>
      <c r="C167">
        <v>0.2</v>
      </c>
      <c r="D167">
        <v>0.23333333333333331</v>
      </c>
      <c r="E167">
        <v>0.33333333333333331</v>
      </c>
      <c r="F167">
        <v>0.23333333333333331</v>
      </c>
      <c r="G167">
        <v>0.48333333333333328</v>
      </c>
    </row>
    <row r="168" spans="1:7" x14ac:dyDescent="0.15">
      <c r="A168" t="str">
        <f>HYPERLINK("./new_k5/query_cmdrels_weight_analyze/0.1_0.4_0.5/au_620930.xlsx","au_620930")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0.48333333333333328</v>
      </c>
    </row>
    <row r="169" spans="1:7" x14ac:dyDescent="0.15">
      <c r="A169" t="str">
        <f>HYPERLINK("./new_k5/query_cmdrels_weight_analyze/0.1_0.4_0.5/au_62492.xlsx","au_62492")</f>
        <v>au_62492</v>
      </c>
      <c r="B169">
        <v>0.2</v>
      </c>
      <c r="C169">
        <v>0.2</v>
      </c>
      <c r="D169">
        <v>0.33333333333333331</v>
      </c>
      <c r="E169">
        <v>0.6</v>
      </c>
      <c r="F169">
        <v>0.48333333333333328</v>
      </c>
      <c r="G169">
        <v>0.8</v>
      </c>
    </row>
    <row r="170" spans="1:7" x14ac:dyDescent="0.15">
      <c r="A170" t="str">
        <f>HYPERLINK("./new_k5/query_cmdrels_weight_analyze/0.1_0.4_0.5/au_626078.xlsx","au_626078")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HYPERLINK("./new_k5/query_cmdrels_weight_analyze/0.1_0.4_0.5/au_636944.xlsx","au_636944")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HYPERLINK("./new_k5/query_cmdrels_weight_analyze/0.1_0.4_0.5/au_648603.xlsx","au_648603")</f>
        <v>au_648603</v>
      </c>
      <c r="B172">
        <v>0.25</v>
      </c>
      <c r="C172">
        <v>0.25</v>
      </c>
      <c r="D172">
        <v>0.25</v>
      </c>
      <c r="E172">
        <v>0.25</v>
      </c>
      <c r="F172">
        <v>0.25</v>
      </c>
      <c r="G172">
        <v>0.52500000000000002</v>
      </c>
    </row>
    <row r="173" spans="1:7" x14ac:dyDescent="0.15">
      <c r="A173" t="str">
        <f>HYPERLINK("./new_k5/query_cmdrels_weight_analyze/0.1_0.4_0.5/au_65331.xlsx","au_65331")</f>
        <v>au_65331</v>
      </c>
      <c r="B173">
        <v>0</v>
      </c>
      <c r="C173">
        <v>0.16666666666666671</v>
      </c>
      <c r="D173">
        <v>8.3333333333333329E-2</v>
      </c>
      <c r="E173">
        <v>0.33333333333333331</v>
      </c>
      <c r="F173">
        <v>0.16666666666666671</v>
      </c>
      <c r="G173">
        <v>0.45833333333333331</v>
      </c>
    </row>
    <row r="174" spans="1:7" x14ac:dyDescent="0.15">
      <c r="A174" t="str">
        <f>HYPERLINK("./new_k5/query_cmdrels_weight_analyze/0.1_0.4_0.5/au_66000.xlsx","au_66000")</f>
        <v>au_66000</v>
      </c>
      <c r="B174">
        <v>0</v>
      </c>
      <c r="C174">
        <v>0.2</v>
      </c>
      <c r="D174">
        <v>0</v>
      </c>
      <c r="E174">
        <v>0.2</v>
      </c>
      <c r="F174">
        <v>0</v>
      </c>
      <c r="G174">
        <v>0.42</v>
      </c>
    </row>
    <row r="175" spans="1:7" x14ac:dyDescent="0.15">
      <c r="A175" t="str">
        <f>HYPERLINK("./new_k5/query_cmdrels_weight_analyze/0.1_0.4_0.5/au_660846.xlsx","au_660846")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HYPERLINK("./new_k5/query_cmdrels_weight_analyze/0.1_0.4_0.5/au_662935.xlsx","au_662935")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0.25</v>
      </c>
    </row>
    <row r="177" spans="1:7" x14ac:dyDescent="0.15">
      <c r="A177" t="str">
        <f>HYPERLINK("./new_k5/query_cmdrels_weight_analyze/0.1_0.4_0.5/au_67663.xlsx","au_67663")</f>
        <v>au_67663</v>
      </c>
      <c r="B177">
        <v>0</v>
      </c>
      <c r="C177">
        <v>0.25</v>
      </c>
      <c r="D177">
        <v>0.29166666666666657</v>
      </c>
      <c r="E177">
        <v>0.5</v>
      </c>
      <c r="F177">
        <v>0.29166666666666657</v>
      </c>
      <c r="G177">
        <v>0.5</v>
      </c>
    </row>
    <row r="178" spans="1:7" x14ac:dyDescent="0.15">
      <c r="A178" t="str">
        <f>HYPERLINK("./new_k5/query_cmdrels_weight_analyze/0.1_0.4_0.5/au_68028.xlsx","au_68028")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0.42857142857142849</v>
      </c>
      <c r="F178">
        <v>0.37142857142857139</v>
      </c>
      <c r="G178">
        <v>0.42857142857142849</v>
      </c>
    </row>
    <row r="179" spans="1:7" x14ac:dyDescent="0.15">
      <c r="A179" t="str">
        <f>HYPERLINK("./new_k5/query_cmdrels_weight_analyze/0.1_0.4_0.5/au_681312.xlsx","au_681312")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0.42857142857142849</v>
      </c>
      <c r="F179">
        <v>0.42857142857142849</v>
      </c>
      <c r="G179">
        <v>0.5714285714285714</v>
      </c>
    </row>
    <row r="180" spans="1:7" x14ac:dyDescent="0.15">
      <c r="A180" t="str">
        <f>HYPERLINK("./new_k5/query_cmdrels_weight_analyze/0.1_0.4_0.5/au_686239.xlsx","au_686239")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HYPERLINK("./new_k5/query_cmdrels_weight_analyze/0.1_0.4_0.5/au_68809.xlsx","au_68809")</f>
        <v>au_68809</v>
      </c>
      <c r="B181">
        <v>0.125</v>
      </c>
      <c r="C181">
        <v>0.125</v>
      </c>
      <c r="D181">
        <v>0.20833333333333329</v>
      </c>
      <c r="E181">
        <v>0.125</v>
      </c>
      <c r="F181">
        <v>0.28333333333333333</v>
      </c>
      <c r="G181">
        <v>0.1875</v>
      </c>
    </row>
    <row r="182" spans="1:7" x14ac:dyDescent="0.15">
      <c r="A182" t="str">
        <f>HYPERLINK("./new_k5/query_cmdrels_weight_analyze/0.1_0.4_0.5/au_69556.xlsx","au_69556")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HYPERLINK("./new_k5/query_cmdrels_weight_analyze/0.1_0.4_0.5/au_698993.xlsx","au_698993")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HYPERLINK("./new_k5/query_cmdrels_weight_analyze/0.1_0.4_0.5/au_707881.xlsx","au_707881")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HYPERLINK("./new_k5/query_cmdrels_weight_analyze/0.1_0.4_0.5/au_709594.xlsx","au_709594")</f>
        <v>au_709594</v>
      </c>
      <c r="B185">
        <v>0.33333333333333331</v>
      </c>
      <c r="C185">
        <v>0.33333333333333331</v>
      </c>
      <c r="D185">
        <v>0.66666666666666663</v>
      </c>
      <c r="E185">
        <v>0.55555555555555547</v>
      </c>
      <c r="F185">
        <v>0.91666666666666663</v>
      </c>
      <c r="G185">
        <v>0.55555555555555547</v>
      </c>
    </row>
    <row r="186" spans="1:7" x14ac:dyDescent="0.15">
      <c r="A186" t="str">
        <f>HYPERLINK("./new_k5/query_cmdrels_weight_analyze/0.1_0.4_0.5/au_71309.xlsx","au_71309")</f>
        <v>au_71309</v>
      </c>
      <c r="B186">
        <v>0.125</v>
      </c>
      <c r="C186">
        <v>0.125</v>
      </c>
      <c r="D186">
        <v>0.20833333333333329</v>
      </c>
      <c r="E186">
        <v>0.25</v>
      </c>
      <c r="F186">
        <v>0.20833333333333329</v>
      </c>
      <c r="G186">
        <v>0.34375</v>
      </c>
    </row>
    <row r="187" spans="1:7" x14ac:dyDescent="0.15">
      <c r="A187" t="str">
        <f>HYPERLINK("./new_k5/query_cmdrels_weight_analyze/0.1_0.4_0.5/au_7138.xlsx","au_7138")</f>
        <v>au_7138</v>
      </c>
      <c r="B187">
        <v>0.25</v>
      </c>
      <c r="C187">
        <v>0</v>
      </c>
      <c r="D187">
        <v>0.75</v>
      </c>
      <c r="E187">
        <v>8.3333333333333329E-2</v>
      </c>
      <c r="F187">
        <v>0.75</v>
      </c>
      <c r="G187">
        <v>0.20833333333333329</v>
      </c>
    </row>
    <row r="188" spans="1:7" x14ac:dyDescent="0.15">
      <c r="A188" t="str">
        <f>HYPERLINK("./new_k5/query_cmdrels_weight_analyze/0.1_0.4_0.5/au_72549.xlsx","au_72549")</f>
        <v>au_72549</v>
      </c>
      <c r="B188">
        <v>0</v>
      </c>
      <c r="C188">
        <v>0</v>
      </c>
      <c r="D188">
        <v>0</v>
      </c>
      <c r="E188">
        <v>0.125</v>
      </c>
      <c r="F188">
        <v>0</v>
      </c>
      <c r="G188">
        <v>0.125</v>
      </c>
    </row>
    <row r="189" spans="1:7" x14ac:dyDescent="0.15">
      <c r="A189" t="str">
        <f>HYPERLINK("./new_k5/query_cmdrels_weight_analyze/0.1_0.4_0.5/au_740805.xlsx","au_740805")</f>
        <v>au_740805</v>
      </c>
      <c r="B189">
        <v>0.25</v>
      </c>
      <c r="C189">
        <v>0</v>
      </c>
      <c r="D189">
        <v>0.41666666666666657</v>
      </c>
      <c r="E189">
        <v>0.29166666666666657</v>
      </c>
      <c r="F189">
        <v>0.41666666666666657</v>
      </c>
      <c r="G189">
        <v>0.29166666666666657</v>
      </c>
    </row>
    <row r="190" spans="1:7" x14ac:dyDescent="0.15">
      <c r="A190" t="str">
        <f>HYPERLINK("./new_k5/query_cmdrels_weight_analyze/0.1_0.4_0.5/au_760796.xlsx","au_760796")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HYPERLINK("./new_k5/query_cmdrels_weight_analyze/0.1_0.4_0.5/au_762846.xlsx","au_762846")</f>
        <v>au_762846</v>
      </c>
      <c r="B191">
        <v>0.16666666666666671</v>
      </c>
      <c r="C191">
        <v>0.16666666666666671</v>
      </c>
      <c r="D191">
        <v>0.5</v>
      </c>
      <c r="E191">
        <v>0.33333333333333331</v>
      </c>
      <c r="F191">
        <v>0.6333333333333333</v>
      </c>
      <c r="G191">
        <v>0.43333333333333329</v>
      </c>
    </row>
    <row r="192" spans="1:7" x14ac:dyDescent="0.15">
      <c r="A192" t="str">
        <f>HYPERLINK("./new_k5/query_cmdrels_weight_analyze/0.1_0.4_0.5/au_767786.xlsx","au_767786")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0.8</v>
      </c>
    </row>
    <row r="193" spans="1:7" x14ac:dyDescent="0.15">
      <c r="A193" t="str">
        <f>HYPERLINK("./new_k5/query_cmdrels_weight_analyze/0.1_0.4_0.5/au_778906.xlsx","au_778906")</f>
        <v>au_778906</v>
      </c>
      <c r="B193">
        <v>0.2</v>
      </c>
      <c r="C193">
        <v>0.2</v>
      </c>
      <c r="D193">
        <v>0.33333333333333331</v>
      </c>
      <c r="E193">
        <v>0.6</v>
      </c>
      <c r="F193">
        <v>0.33333333333333331</v>
      </c>
      <c r="G193">
        <v>0.6</v>
      </c>
    </row>
    <row r="194" spans="1:7" x14ac:dyDescent="0.15">
      <c r="A194" t="str">
        <f>HYPERLINK("./new_k5/query_cmdrels_weight_analyze/0.1_0.4_0.5/au_818929.xlsx","au_818929")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0.28000000000000003</v>
      </c>
    </row>
    <row r="195" spans="1:7" x14ac:dyDescent="0.15">
      <c r="A195" t="str">
        <f>HYPERLINK("./new_k5/query_cmdrels_weight_analyze/0.1_0.4_0.5/au_844876.xlsx","au_844876")</f>
        <v>au_844876</v>
      </c>
      <c r="B195">
        <v>0.5</v>
      </c>
      <c r="C195">
        <v>0.5</v>
      </c>
      <c r="D195">
        <v>0.5</v>
      </c>
      <c r="E195">
        <v>0.83333333333333326</v>
      </c>
      <c r="F195">
        <v>0.5</v>
      </c>
      <c r="G195">
        <v>0.83333333333333326</v>
      </c>
    </row>
    <row r="196" spans="1:7" x14ac:dyDescent="0.15">
      <c r="A196" t="str">
        <f>HYPERLINK("./new_k5/query_cmdrels_weight_analyze/0.1_0.4_0.5/au_85318.xlsx","au_85318")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0.4</v>
      </c>
    </row>
    <row r="197" spans="1:7" x14ac:dyDescent="0.15">
      <c r="A197" t="str">
        <f>HYPERLINK("./new_k5/query_cmdrels_weight_analyze/0.1_0.4_0.5/au_854332.xlsx","au_854332")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HYPERLINK("./new_k5/query_cmdrels_weight_analyze/0.1_0.4_0.5/au_854373.xlsx","au_854373")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HYPERLINK("./new_k5/query_cmdrels_weight_analyze/0.1_0.4_0.5/au_86843.xlsx","au_86843")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0.04</v>
      </c>
      <c r="G199">
        <v>0</v>
      </c>
    </row>
    <row r="200" spans="1:7" x14ac:dyDescent="0.15">
      <c r="A200" t="str">
        <f>HYPERLINK("./new_k5/query_cmdrels_weight_analyze/0.1_0.4_0.5/au_88108.xlsx","au_88108")</f>
        <v>au_88108</v>
      </c>
      <c r="B200">
        <v>0</v>
      </c>
      <c r="C200">
        <v>0</v>
      </c>
      <c r="D200">
        <v>0.1</v>
      </c>
      <c r="E200">
        <v>6.6666666666666666E-2</v>
      </c>
      <c r="F200">
        <v>0.1</v>
      </c>
      <c r="G200">
        <v>6.6666666666666666E-2</v>
      </c>
    </row>
    <row r="201" spans="1:7" x14ac:dyDescent="0.15">
      <c r="A201" t="str">
        <f>HYPERLINK("./new_k5/query_cmdrels_weight_analyze/0.1_0.4_0.5/au_90214.xlsx","au_90214")</f>
        <v>au_90214</v>
      </c>
      <c r="B201">
        <v>0</v>
      </c>
      <c r="C201">
        <v>0</v>
      </c>
      <c r="D201">
        <v>0.16666666666666671</v>
      </c>
      <c r="E201">
        <v>0.1111111111111111</v>
      </c>
      <c r="F201">
        <v>0.16666666666666671</v>
      </c>
      <c r="G201">
        <v>0.27777777777777768</v>
      </c>
    </row>
    <row r="202" spans="1:7" x14ac:dyDescent="0.15">
      <c r="A202" t="str">
        <f>HYPERLINK("./new_k5/query_cmdrels_weight_analyze/0.1_0.4_0.5/au_90339.xlsx","au_90339")</f>
        <v>au_90339</v>
      </c>
      <c r="B202">
        <v>0</v>
      </c>
      <c r="C202">
        <v>0</v>
      </c>
      <c r="D202">
        <v>4.7619047619047623E-2</v>
      </c>
      <c r="E202">
        <v>0.16666666666666671</v>
      </c>
      <c r="F202">
        <v>0.2047619047619047</v>
      </c>
      <c r="G202">
        <v>0.16666666666666671</v>
      </c>
    </row>
    <row r="203" spans="1:7" x14ac:dyDescent="0.15">
      <c r="A203" t="str">
        <f>HYPERLINK("./new_k5/query_cmdrels_weight_analyze/0.1_0.4_0.5/au_91286.xlsx","au_91286")</f>
        <v>au_91286</v>
      </c>
      <c r="B203">
        <v>0.5</v>
      </c>
      <c r="C203">
        <v>0</v>
      </c>
      <c r="D203">
        <v>0.5</v>
      </c>
      <c r="E203">
        <v>0.25</v>
      </c>
      <c r="F203">
        <v>0.5</v>
      </c>
      <c r="G203">
        <v>0.25</v>
      </c>
    </row>
    <row r="204" spans="1:7" x14ac:dyDescent="0.15">
      <c r="A204" t="str">
        <f>HYPERLINK("./new_k5/query_cmdrels_weight_analyze/0.1_0.4_0.5/au_9135.xlsx","au_9135")</f>
        <v>au_9135</v>
      </c>
      <c r="B204">
        <v>0.1</v>
      </c>
      <c r="C204">
        <v>0.1</v>
      </c>
      <c r="D204">
        <v>0.16666666666666671</v>
      </c>
      <c r="E204">
        <v>0.16666666666666671</v>
      </c>
      <c r="F204">
        <v>0.24166666666666661</v>
      </c>
      <c r="G204">
        <v>0.24166666666666661</v>
      </c>
    </row>
    <row r="205" spans="1:7" x14ac:dyDescent="0.15">
      <c r="A205" t="str">
        <f>HYPERLINK("./new_k5/query_cmdrels_weight_analyze/0.1_0.4_0.5/au_935569.xlsx","au_935569")</f>
        <v>au_935569</v>
      </c>
      <c r="B205">
        <v>0.14285714285714279</v>
      </c>
      <c r="C205">
        <v>0.14285714285714279</v>
      </c>
      <c r="D205">
        <v>0.42857142857142849</v>
      </c>
      <c r="E205">
        <v>0.2857142857142857</v>
      </c>
      <c r="F205">
        <v>0.54285714285714282</v>
      </c>
      <c r="G205">
        <v>0.2857142857142857</v>
      </c>
    </row>
    <row r="206" spans="1:7" x14ac:dyDescent="0.15">
      <c r="A206" t="str">
        <f>HYPERLINK("./new_k5/query_cmdrels_weight_analyze/0.1_0.4_0.5/au_97936.xlsx","au_97936")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0.2857142857142857</v>
      </c>
    </row>
    <row r="207" spans="1:7" x14ac:dyDescent="0.15">
      <c r="A207" t="str">
        <f>HYPERLINK("./new_k5/query_cmdrels_weight_analyze/0.1_0.4_0.5/so_10235778.xlsx","so_10235778")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HYPERLINK("./new_k5/query_cmdrels_weight_analyze/0.1_0.4_0.5/so_1045910.xlsx","so_1045910")</f>
        <v>so_1045910</v>
      </c>
      <c r="B208">
        <v>0.25</v>
      </c>
      <c r="C208">
        <v>0</v>
      </c>
      <c r="D208">
        <v>0.25</v>
      </c>
      <c r="E208">
        <v>0.29166666666666657</v>
      </c>
      <c r="F208">
        <v>0.25</v>
      </c>
      <c r="G208">
        <v>0.29166666666666657</v>
      </c>
    </row>
    <row r="209" spans="1:7" x14ac:dyDescent="0.15">
      <c r="A209" t="str">
        <f>HYPERLINK("./new_k5/query_cmdrels_weight_analyze/0.1_0.4_0.5/so_10557360.xlsx","so_10557360")</f>
        <v>so_10557360</v>
      </c>
      <c r="B209">
        <v>0</v>
      </c>
      <c r="C209">
        <v>0</v>
      </c>
      <c r="D209">
        <v>0</v>
      </c>
      <c r="E209">
        <v>0.1</v>
      </c>
      <c r="F209">
        <v>0</v>
      </c>
      <c r="G209">
        <v>0.1</v>
      </c>
    </row>
    <row r="210" spans="1:7" x14ac:dyDescent="0.15">
      <c r="A210" t="str">
        <f>HYPERLINK("./new_k5/query_cmdrels_weight_analyze/0.1_0.4_0.5/so_1058047.xlsx","so_1058047")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0.375</v>
      </c>
    </row>
    <row r="211" spans="1:7" x14ac:dyDescent="0.15">
      <c r="A211" t="str">
        <f>HYPERLINK("./new_k5/query_cmdrels_weight_analyze/0.1_0.4_0.5/so_10829402.xlsx","so_10829402")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HYPERLINK("./new_k5/query_cmdrels_weight_analyze/0.1_0.4_0.5/so_1088098.xlsx","so_1088098")</f>
        <v>so_1088098</v>
      </c>
      <c r="B212">
        <v>0</v>
      </c>
      <c r="C212">
        <v>0</v>
      </c>
      <c r="D212">
        <v>0.125</v>
      </c>
      <c r="E212">
        <v>0.125</v>
      </c>
      <c r="F212">
        <v>0.125</v>
      </c>
      <c r="G212">
        <v>0.125</v>
      </c>
    </row>
    <row r="213" spans="1:7" x14ac:dyDescent="0.15">
      <c r="A213" t="str">
        <f>HYPERLINK("./new_k5/query_cmdrels_weight_analyze/0.1_0.4_0.5/so_10990949.xlsx","so_10990949")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0.7</v>
      </c>
    </row>
    <row r="214" spans="1:7" x14ac:dyDescent="0.15">
      <c r="A214" t="str">
        <f>HYPERLINK("./new_k5/query_cmdrels_weight_analyze/0.1_0.4_0.5/so_11211705.xlsx","so_11211705")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HYPERLINK("./new_k5/query_cmdrels_weight_analyze/0.1_0.4_0.5/so_112932.xlsx","so_112932")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HYPERLINK("./new_k5/query_cmdrels_weight_analyze/0.1_0.4_0.5/so_11392189.xlsx","so_11392189")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8.3333333333333329E-2</v>
      </c>
    </row>
    <row r="217" spans="1:7" x14ac:dyDescent="0.15">
      <c r="A217" t="str">
        <f>HYPERLINK("./new_k5/query_cmdrels_weight_analyze/0.1_0.4_0.5/so_1183183.xlsx","so_1183183")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HYPERLINK("./new_k5/query_cmdrels_weight_analyze/0.1_0.4_0.5/so_1194882.xlsx","so_1194882")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HYPERLINK("./new_k5/query_cmdrels_weight_analyze/0.1_0.4_0.5/so_12120935.xlsx","so_12120935")</f>
        <v>so_12120935</v>
      </c>
      <c r="B219">
        <v>0.25</v>
      </c>
      <c r="C219">
        <v>0.25</v>
      </c>
      <c r="D219">
        <v>0.41666666666666657</v>
      </c>
      <c r="E219">
        <v>0.5</v>
      </c>
      <c r="F219">
        <v>0.41666666666666657</v>
      </c>
      <c r="G219">
        <v>0.6875</v>
      </c>
    </row>
    <row r="220" spans="1:7" x14ac:dyDescent="0.15">
      <c r="A220" t="str">
        <f>HYPERLINK("./new_k5/query_cmdrels_weight_analyze/0.1_0.4_0.5/so_12313384.xlsx","so_12313384")</f>
        <v>so_12313384</v>
      </c>
      <c r="B220">
        <v>0</v>
      </c>
      <c r="C220">
        <v>0.33333333333333331</v>
      </c>
      <c r="D220">
        <v>0.16666666666666671</v>
      </c>
      <c r="E220">
        <v>0.33333333333333331</v>
      </c>
      <c r="F220">
        <v>0.16666666666666671</v>
      </c>
      <c r="G220">
        <v>0.5</v>
      </c>
    </row>
    <row r="221" spans="1:7" x14ac:dyDescent="0.15">
      <c r="A221" t="str">
        <f>HYPERLINK("./new_k5/query_cmdrels_weight_analyze/0.1_0.4_0.5/so_12392598.xlsx","so_12392598")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0.42857142857142849</v>
      </c>
      <c r="F221">
        <v>0.2857142857142857</v>
      </c>
      <c r="G221">
        <v>0.54285714285714282</v>
      </c>
    </row>
    <row r="222" spans="1:7" x14ac:dyDescent="0.15">
      <c r="A222" t="str">
        <f>HYPERLINK("./new_k5/query_cmdrels_weight_analyze/0.1_0.4_0.5/so_1241801.xlsx","so_1241801")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HYPERLINK("./new_k5/query_cmdrels_weight_analyze/0.1_0.4_0.5/so_12522269.xlsx","so_12522269")</f>
        <v>so_12522269</v>
      </c>
      <c r="B223">
        <v>0.2</v>
      </c>
      <c r="C223">
        <v>0</v>
      </c>
      <c r="D223">
        <v>0.2</v>
      </c>
      <c r="E223">
        <v>0.1</v>
      </c>
      <c r="F223">
        <v>0.28000000000000003</v>
      </c>
      <c r="G223">
        <v>0.1</v>
      </c>
    </row>
    <row r="224" spans="1:7" x14ac:dyDescent="0.15">
      <c r="A224" t="str">
        <f>HYPERLINK("./new_k5/query_cmdrels_weight_analyze/0.1_0.4_0.5/so_1293907.xlsx","so_1293907")</f>
        <v>so_1293907</v>
      </c>
      <c r="B224">
        <v>0</v>
      </c>
      <c r="C224">
        <v>0.33333333333333331</v>
      </c>
      <c r="D224">
        <v>0</v>
      </c>
      <c r="E224">
        <v>0.33333333333333331</v>
      </c>
      <c r="F224">
        <v>8.3333333333333329E-2</v>
      </c>
      <c r="G224">
        <v>0.70000000000000007</v>
      </c>
    </row>
    <row r="225" spans="1:7" x14ac:dyDescent="0.15">
      <c r="A225" t="str">
        <f>HYPERLINK("./new_k5/query_cmdrels_weight_analyze/0.1_0.4_0.5/so_13428910.xlsx","so_13428910")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HYPERLINK("./new_k5/query_cmdrels_weight_analyze/0.1_0.4_0.5/so_135688.xlsx","so_135688")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HYPERLINK("./new_k5/query_cmdrels_weight_analyze/0.1_0.4_0.5/so_13778273.xlsx","so_13778273")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0.5</v>
      </c>
    </row>
    <row r="228" spans="1:7" x14ac:dyDescent="0.15">
      <c r="A228" t="str">
        <f>HYPERLINK("./new_k5/query_cmdrels_weight_analyze/0.1_0.4_0.5/so_1405611.xlsx","so_1405611")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</v>
      </c>
      <c r="F228">
        <v>0.33333333333333331</v>
      </c>
      <c r="G228">
        <v>6.6666666666666666E-2</v>
      </c>
    </row>
    <row r="229" spans="1:7" x14ac:dyDescent="0.15">
      <c r="A229" t="str">
        <f>HYPERLINK("./new_k5/query_cmdrels_weight_analyze/0.1_0.4_0.5/so_14300794.xlsx","so_14300794")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HYPERLINK("./new_k5/query_cmdrels_weight_analyze/0.1_0.4_0.5/so_143791.xlsx","so_143791")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HYPERLINK("./new_k5/query_cmdrels_weight_analyze/0.1_0.4_0.5/so_14750650.xlsx","so_14750650")</f>
        <v>so_14750650</v>
      </c>
      <c r="B231">
        <v>0</v>
      </c>
      <c r="C231">
        <v>0</v>
      </c>
      <c r="D231">
        <v>0</v>
      </c>
      <c r="E231">
        <v>8.3333333333333329E-2</v>
      </c>
      <c r="F231">
        <v>0</v>
      </c>
      <c r="G231">
        <v>8.3333333333333329E-2</v>
      </c>
    </row>
    <row r="232" spans="1:7" x14ac:dyDescent="0.15">
      <c r="A232" t="str">
        <f>HYPERLINK("./new_k5/query_cmdrels_weight_analyze/0.1_0.4_0.5/so_14978411.xlsx","so_14978411")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HYPERLINK("./new_k5/query_cmdrels_weight_analyze/0.1_0.4_0.5/so_15236308.xlsx","so_15236308")</f>
        <v>so_15236308</v>
      </c>
      <c r="B233">
        <v>0.25</v>
      </c>
      <c r="C233">
        <v>0.25</v>
      </c>
      <c r="D233">
        <v>0.25</v>
      </c>
      <c r="E233">
        <v>0.5</v>
      </c>
      <c r="F233">
        <v>0.25</v>
      </c>
      <c r="G233">
        <v>0.6875</v>
      </c>
    </row>
    <row r="234" spans="1:7" x14ac:dyDescent="0.15">
      <c r="A234" t="str">
        <f>HYPERLINK("./new_k5/query_cmdrels_weight_analyze/0.1_0.4_0.5/so_15286947.xlsx","so_15286947")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HYPERLINK("./new_k5/query_cmdrels_weight_analyze/0.1_0.4_0.5/so_15402770.xlsx","so_15402770")</f>
        <v>so_15402770</v>
      </c>
      <c r="B235">
        <v>0</v>
      </c>
      <c r="C235">
        <v>0</v>
      </c>
      <c r="D235">
        <v>0.19444444444444439</v>
      </c>
      <c r="E235">
        <v>0.19444444444444439</v>
      </c>
      <c r="F235">
        <v>0.19444444444444439</v>
      </c>
      <c r="G235">
        <v>0.31944444444444442</v>
      </c>
    </row>
    <row r="236" spans="1:7" x14ac:dyDescent="0.15">
      <c r="A236" t="str">
        <f>HYPERLINK("./new_k5/query_cmdrels_weight_analyze/0.1_0.4_0.5/so_1570262.xlsx","so_1570262")</f>
        <v>so_1570262</v>
      </c>
      <c r="B236">
        <v>0</v>
      </c>
      <c r="C236">
        <v>0</v>
      </c>
      <c r="D236">
        <v>0</v>
      </c>
      <c r="E236">
        <v>6.6666666666666666E-2</v>
      </c>
      <c r="F236">
        <v>0</v>
      </c>
      <c r="G236">
        <v>6.6666666666666666E-2</v>
      </c>
    </row>
    <row r="237" spans="1:7" x14ac:dyDescent="0.15">
      <c r="A237" t="str">
        <f>HYPERLINK("./new_k5/query_cmdrels_weight_analyze/0.1_0.4_0.5/so_1583219.xlsx","so_1583219")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HYPERLINK("./new_k5/query_cmdrels_weight_analyze/0.1_0.4_0.5/so_15872543.xlsx","so_15872543")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HYPERLINK("./new_k5/query_cmdrels_weight_analyze/0.1_0.4_0.5/so_16038087.xlsx","so_16038087")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0.14285714285714279</v>
      </c>
      <c r="F239">
        <v>0.2857142857142857</v>
      </c>
      <c r="G239">
        <v>0.14285714285714279</v>
      </c>
    </row>
    <row r="240" spans="1:7" x14ac:dyDescent="0.15">
      <c r="A240" t="str">
        <f>HYPERLINK("./new_k5/query_cmdrels_weight_analyze/0.1_0.4_0.5/so_16212656.xlsx","so_16212656")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HYPERLINK("./new_k5/query_cmdrels_weight_analyze/0.1_0.4_0.5/so_16575419.xlsx","so_16575419")</f>
        <v>so_16575419</v>
      </c>
      <c r="B241">
        <v>0.25</v>
      </c>
      <c r="C241">
        <v>0.25</v>
      </c>
      <c r="D241">
        <v>0.25</v>
      </c>
      <c r="E241">
        <v>0.75</v>
      </c>
      <c r="F241">
        <v>0.25</v>
      </c>
      <c r="G241">
        <v>0.75</v>
      </c>
    </row>
    <row r="242" spans="1:7" x14ac:dyDescent="0.15">
      <c r="A242" t="str">
        <f>HYPERLINK("./new_k5/query_cmdrels_weight_analyze/0.1_0.4_0.5/so_17582768.xlsx","so_17582768")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0</v>
      </c>
    </row>
    <row r="243" spans="1:7" x14ac:dyDescent="0.15">
      <c r="A243" t="str">
        <f>HYPERLINK("./new_k5/query_cmdrels_weight_analyze/0.1_0.4_0.5/so_17607612.xlsx","so_17607612")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HYPERLINK("./new_k5/query_cmdrels_weight_analyze/0.1_0.4_0.5/so_17829785.xlsx","so_17829785")</f>
        <v>so_17829785</v>
      </c>
      <c r="B244">
        <v>0.25</v>
      </c>
      <c r="C244">
        <v>0.25</v>
      </c>
      <c r="D244">
        <v>0.25</v>
      </c>
      <c r="E244">
        <v>0.5</v>
      </c>
      <c r="F244">
        <v>0.25</v>
      </c>
      <c r="G244">
        <v>0.5</v>
      </c>
    </row>
    <row r="245" spans="1:7" x14ac:dyDescent="0.15">
      <c r="A245" t="str">
        <f>HYPERLINK("./new_k5/query_cmdrels_weight_analyze/0.1_0.4_0.5/so_1839841.xlsx","so_1839841")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HYPERLINK("./new_k5/query_cmdrels_weight_analyze/0.1_0.4_0.5/so_18468716.xlsx","so_18468716")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0.46666666666666662</v>
      </c>
    </row>
    <row r="247" spans="1:7" x14ac:dyDescent="0.15">
      <c r="A247" t="str">
        <f>HYPERLINK("./new_k5/query_cmdrels_weight_analyze/0.1_0.4_0.5/so_19196105.xlsx","so_19196105")</f>
        <v>so_19196105</v>
      </c>
      <c r="B247">
        <v>0.1</v>
      </c>
      <c r="C247">
        <v>0.1</v>
      </c>
      <c r="D247">
        <v>0.3</v>
      </c>
      <c r="E247">
        <v>0.3</v>
      </c>
      <c r="F247">
        <v>0.5</v>
      </c>
      <c r="G247">
        <v>0.38</v>
      </c>
    </row>
    <row r="248" spans="1:7" x14ac:dyDescent="0.15">
      <c r="A248" t="str">
        <f>HYPERLINK("./new_k5/query_cmdrels_weight_analyze/0.1_0.4_0.5/so_19482123.xlsx","so_19482123")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HYPERLINK("./new_k5/query_cmdrels_weight_analyze/0.1_0.4_0.5/so_1975849.xlsx","so_1975849")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HYPERLINK("./new_k5/query_cmdrels_weight_analyze/0.1_0.4_0.5/so_212528.xlsx","so_212528")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0.45833333333333331</v>
      </c>
    </row>
    <row r="251" spans="1:7" x14ac:dyDescent="0.15">
      <c r="A251" t="str">
        <f>HYPERLINK("./new_k5/query_cmdrels_weight_analyze/0.1_0.4_0.5/so_21620406.xlsx","so_21620406")</f>
        <v>so_21620406</v>
      </c>
      <c r="B251">
        <v>0</v>
      </c>
      <c r="C251">
        <v>0</v>
      </c>
      <c r="D251">
        <v>0.1111111111111111</v>
      </c>
      <c r="E251">
        <v>0.16666666666666671</v>
      </c>
      <c r="F251">
        <v>0.1111111111111111</v>
      </c>
      <c r="G251">
        <v>0.16666666666666671</v>
      </c>
    </row>
    <row r="252" spans="1:7" x14ac:dyDescent="0.15">
      <c r="A252" t="str">
        <f>HYPERLINK("./new_k5/query_cmdrels_weight_analyze/0.1_0.4_0.5/so_23509348.xlsx","so_23509348")</f>
        <v>so_23509348</v>
      </c>
      <c r="B252">
        <v>0</v>
      </c>
      <c r="C252">
        <v>0.25</v>
      </c>
      <c r="D252">
        <v>0</v>
      </c>
      <c r="E252">
        <v>0.25</v>
      </c>
      <c r="F252">
        <v>0</v>
      </c>
      <c r="G252">
        <v>0.375</v>
      </c>
    </row>
    <row r="253" spans="1:7" x14ac:dyDescent="0.15">
      <c r="A253" t="str">
        <f>HYPERLINK("./new_k5/query_cmdrels_weight_analyze/0.1_0.4_0.5/so_24058544.xlsx","so_24058544")</f>
        <v>so_24058544</v>
      </c>
      <c r="B253">
        <v>0.2</v>
      </c>
      <c r="C253">
        <v>0</v>
      </c>
      <c r="D253">
        <v>0.2</v>
      </c>
      <c r="E253">
        <v>0.1</v>
      </c>
      <c r="F253">
        <v>0.2</v>
      </c>
      <c r="G253">
        <v>0.1</v>
      </c>
    </row>
    <row r="254" spans="1:7" x14ac:dyDescent="0.15">
      <c r="A254" t="str">
        <f>HYPERLINK("./new_k5/query_cmdrels_weight_analyze/0.1_0.4_0.5/so_24283097.xlsx","so_24283097")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HYPERLINK("./new_k5/query_cmdrels_weight_analyze/0.1_0.4_0.5/so_26256279.xlsx","so_26256279")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HYPERLINK("./new_k5/query_cmdrels_weight_analyze/0.1_0.4_0.5/so_26331651.xlsx","so_26331651")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HYPERLINK("./new_k5/query_cmdrels_weight_analyze/0.1_0.4_0.5/so_26988262.xlsx","so_26988262")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0.46666666666666662</v>
      </c>
    </row>
    <row r="258" spans="1:7" x14ac:dyDescent="0.15">
      <c r="A258" t="str">
        <f>HYPERLINK("./new_k5/query_cmdrels_weight_analyze/0.1_0.4_0.5/so_27238411.xlsx","so_27238411")</f>
        <v>so_27238411</v>
      </c>
      <c r="B258">
        <v>0.2</v>
      </c>
      <c r="C258">
        <v>0.2</v>
      </c>
      <c r="D258">
        <v>0.6</v>
      </c>
      <c r="E258">
        <v>0.33333333333333331</v>
      </c>
      <c r="F258">
        <v>0.6</v>
      </c>
      <c r="G258">
        <v>0.48333333333333328</v>
      </c>
    </row>
    <row r="259" spans="1:7" x14ac:dyDescent="0.15">
      <c r="A259" t="str">
        <f>HYPERLINK("./new_k5/query_cmdrels_weight_analyze/0.1_0.4_0.5/so_27943059.xlsx","so_27943059")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0.55555555555555547</v>
      </c>
      <c r="F259">
        <v>0.16666666666666671</v>
      </c>
      <c r="G259">
        <v>0.55555555555555547</v>
      </c>
    </row>
    <row r="260" spans="1:7" x14ac:dyDescent="0.15">
      <c r="A260" t="str">
        <f>HYPERLINK("./new_k5/query_cmdrels_weight_analyze/0.1_0.4_0.5/so_28869004.xlsx","so_28869004")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0.5</v>
      </c>
    </row>
    <row r="261" spans="1:7" x14ac:dyDescent="0.15">
      <c r="A261" t="str">
        <f>HYPERLINK("./new_k5/query_cmdrels_weight_analyze/0.1_0.4_0.5/so_2973624.xlsx","so_2973624")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0.33333333333333331</v>
      </c>
      <c r="F261">
        <v>0.66666666666666663</v>
      </c>
      <c r="G261">
        <v>0.33333333333333331</v>
      </c>
    </row>
    <row r="262" spans="1:7" x14ac:dyDescent="0.15">
      <c r="A262" t="str">
        <f>HYPERLINK("./new_k5/query_cmdrels_weight_analyze/0.1_0.4_0.5/so_30177455.xlsx","so_30177455")</f>
        <v>so_30177455</v>
      </c>
      <c r="B262">
        <v>0</v>
      </c>
      <c r="C262">
        <v>0</v>
      </c>
      <c r="D262">
        <v>0.16666666666666671</v>
      </c>
      <c r="E262">
        <v>0.16666666666666671</v>
      </c>
      <c r="F262">
        <v>0.16666666666666671</v>
      </c>
      <c r="G262">
        <v>0.16666666666666671</v>
      </c>
    </row>
    <row r="263" spans="1:7" x14ac:dyDescent="0.15">
      <c r="A263" t="str">
        <f>HYPERLINK("./new_k5/query_cmdrels_weight_analyze/0.1_0.4_0.5/so_30251889.xlsx","so_30251889")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0.6791666666666667</v>
      </c>
    </row>
    <row r="264" spans="1:7" x14ac:dyDescent="0.15">
      <c r="A264" t="str">
        <f>HYPERLINK("./new_k5/query_cmdrels_weight_analyze/0.1_0.4_0.5/so_305035.xlsx","so_305035")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HYPERLINK("./new_k5/query_cmdrels_weight_analyze/0.1_0.4_0.5/so_36249744.xlsx","so_36249744")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HYPERLINK("./new_k5/query_cmdrels_weight_analyze/0.1_0.4_0.5/so_3643848.xlsx","so_3643848")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HYPERLINK("./new_k5/query_cmdrels_weight_analyze/0.1_0.4_0.5/so_3667329.xlsx","so_3667329")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HYPERLINK("./new_k5/query_cmdrels_weight_analyze/0.1_0.4_0.5/so_369758.xlsx","so_369758")</f>
        <v>so_369758</v>
      </c>
      <c r="B268">
        <v>0.2</v>
      </c>
      <c r="C268">
        <v>0.2</v>
      </c>
      <c r="D268">
        <v>0.4</v>
      </c>
      <c r="E268">
        <v>0.6</v>
      </c>
      <c r="F268">
        <v>0.4</v>
      </c>
      <c r="G268">
        <v>0.6</v>
      </c>
    </row>
    <row r="269" spans="1:7" x14ac:dyDescent="0.15">
      <c r="A269" t="str">
        <f>HYPERLINK("./new_k5/query_cmdrels_weight_analyze/0.1_0.4_0.5/so_3756323.xlsx","so_3756323")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0.75</v>
      </c>
    </row>
    <row r="270" spans="1:7" x14ac:dyDescent="0.15">
      <c r="A270" t="str">
        <f>HYPERLINK("./new_k5/query_cmdrels_weight_analyze/0.1_0.4_0.5/so_3767267.xlsx","so_3767267")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0.2</v>
      </c>
    </row>
    <row r="271" spans="1:7" x14ac:dyDescent="0.15">
      <c r="A271" t="str">
        <f>HYPERLINK("./new_k5/query_cmdrels_weight_analyze/0.1_0.4_0.5/so_3833578.xlsx","so_3833578")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HYPERLINK("./new_k5/query_cmdrels_weight_analyze/0.1_0.4_0.5/so_3891076.xlsx","so_3891076")</f>
        <v>so_3891076</v>
      </c>
      <c r="B272">
        <v>0.25</v>
      </c>
      <c r="C272">
        <v>0</v>
      </c>
      <c r="D272">
        <v>0.25</v>
      </c>
      <c r="E272">
        <v>8.3333333333333329E-2</v>
      </c>
      <c r="F272">
        <v>0.25</v>
      </c>
      <c r="G272">
        <v>0.20833333333333329</v>
      </c>
    </row>
    <row r="273" spans="1:7" x14ac:dyDescent="0.15">
      <c r="A273" t="str">
        <f>HYPERLINK("./new_k5/query_cmdrels_weight_analyze/0.1_0.4_0.5/so_3963085.xlsx","so_3963085")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HYPERLINK("./new_k5/query_cmdrels_weight_analyze/0.1_0.4_0.5/so_4325216.xlsx","so_4325216")</f>
        <v>so_4325216</v>
      </c>
      <c r="B274">
        <v>0.5</v>
      </c>
      <c r="C274">
        <v>0.5</v>
      </c>
      <c r="D274">
        <v>0.5</v>
      </c>
      <c r="E274">
        <v>1</v>
      </c>
      <c r="F274">
        <v>0.5</v>
      </c>
      <c r="G274">
        <v>1</v>
      </c>
    </row>
    <row r="275" spans="1:7" x14ac:dyDescent="0.15">
      <c r="A275" t="str">
        <f>HYPERLINK("./new_k5/query_cmdrels_weight_analyze/0.1_0.4_0.5/so_448005.xlsx","so_448005")</f>
        <v>so_448005</v>
      </c>
      <c r="B275">
        <v>1</v>
      </c>
      <c r="C275">
        <v>0</v>
      </c>
      <c r="D275">
        <v>1</v>
      </c>
      <c r="E275">
        <v>0.33333333333333331</v>
      </c>
      <c r="F275">
        <v>1</v>
      </c>
      <c r="G275">
        <v>0.33333333333333331</v>
      </c>
    </row>
    <row r="276" spans="1:7" x14ac:dyDescent="0.15">
      <c r="A276" t="str">
        <f>HYPERLINK("./new_k5/query_cmdrels_weight_analyze/0.1_0.4_0.5/so_4921879.xlsx","so_4921879")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HYPERLINK("./new_k5/query_cmdrels_weight_analyze/0.1_0.4_0.5/so_4922943.xlsx","so_4922943")</f>
        <v>so_4922943</v>
      </c>
      <c r="B277">
        <v>0.2</v>
      </c>
      <c r="C277">
        <v>0</v>
      </c>
      <c r="D277">
        <v>0.33333333333333331</v>
      </c>
      <c r="E277">
        <v>0.1</v>
      </c>
      <c r="F277">
        <v>0.33333333333333331</v>
      </c>
      <c r="G277">
        <v>0.18</v>
      </c>
    </row>
    <row r="278" spans="1:7" x14ac:dyDescent="0.15">
      <c r="A278" t="str">
        <f>HYPERLINK("./new_k5/query_cmdrels_weight_analyze/0.1_0.4_0.5/so_5119946.xlsx","so_5119946")</f>
        <v>so_5119946</v>
      </c>
      <c r="B278">
        <v>0.5</v>
      </c>
      <c r="C278">
        <v>0</v>
      </c>
      <c r="D278">
        <v>0.5</v>
      </c>
      <c r="E278">
        <v>0.58333333333333326</v>
      </c>
      <c r="F278">
        <v>0.5</v>
      </c>
      <c r="G278">
        <v>0.58333333333333326</v>
      </c>
    </row>
    <row r="279" spans="1:7" x14ac:dyDescent="0.15">
      <c r="A279" t="str">
        <f>HYPERLINK("./new_k5/query_cmdrels_weight_analyze/0.1_0.4_0.5/so_5164985.xlsx","so_5164985")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HYPERLINK("./new_k5/query_cmdrels_weight_analyze/0.1_0.4_0.5/so_5306153.xlsx","so_5306153")</f>
        <v>so_5306153</v>
      </c>
      <c r="B280">
        <v>0</v>
      </c>
      <c r="C280">
        <v>0</v>
      </c>
      <c r="D280">
        <v>0</v>
      </c>
      <c r="E280">
        <v>0.5</v>
      </c>
      <c r="F280">
        <v>0</v>
      </c>
      <c r="G280">
        <v>0.5</v>
      </c>
    </row>
    <row r="281" spans="1:7" x14ac:dyDescent="0.15">
      <c r="A281" t="str">
        <f>HYPERLINK("./new_k5/query_cmdrels_weight_analyze/0.1_0.4_0.5/so_5566310.xlsx","so_5566310")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HYPERLINK("./new_k5/query_cmdrels_weight_analyze/0.1_0.4_0.5/so_5927369.xlsx","so_5927369")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HYPERLINK("./new_k5/query_cmdrels_weight_analyze/0.1_0.4_0.5/so_5947742.xlsx","so_5947742")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HYPERLINK("./new_k5/query_cmdrels_weight_analyze/0.1_0.4_0.5/so_614795.xlsx","so_614795")</f>
        <v>so_614795</v>
      </c>
      <c r="B284">
        <v>0</v>
      </c>
      <c r="C284">
        <v>0</v>
      </c>
      <c r="D284">
        <v>0</v>
      </c>
      <c r="E284">
        <v>0.16666666666666671</v>
      </c>
      <c r="F284">
        <v>0</v>
      </c>
      <c r="G284">
        <v>0.16666666666666671</v>
      </c>
    </row>
    <row r="285" spans="1:7" x14ac:dyDescent="0.15">
      <c r="A285" t="str">
        <f>HYPERLINK("./new_k5/query_cmdrels_weight_analyze/0.1_0.4_0.5/so_6207573.xlsx","so_6207573")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0.2857142857142857</v>
      </c>
      <c r="F285">
        <v>0.37142857142857139</v>
      </c>
      <c r="G285">
        <v>0.39285714285714279</v>
      </c>
    </row>
    <row r="286" spans="1:7" x14ac:dyDescent="0.15">
      <c r="A286" t="str">
        <f>HYPERLINK("./new_k5/query_cmdrels_weight_analyze/0.1_0.4_0.5/so_6283167.xlsx","so_6283167")</f>
        <v>so_6283167</v>
      </c>
      <c r="B286">
        <v>0.25</v>
      </c>
      <c r="C286">
        <v>0</v>
      </c>
      <c r="D286">
        <v>0.25</v>
      </c>
      <c r="E286">
        <v>0.29166666666666657</v>
      </c>
      <c r="F286">
        <v>0.25</v>
      </c>
      <c r="G286">
        <v>0.29166666666666657</v>
      </c>
    </row>
    <row r="287" spans="1:7" x14ac:dyDescent="0.15">
      <c r="A287" t="str">
        <f>HYPERLINK("./new_k5/query_cmdrels_weight_analyze/0.1_0.4_0.5/so_6329505.xlsx","so_6329505")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HYPERLINK("./new_k5/query_cmdrels_weight_analyze/0.1_0.4_0.5/so_6423532.xlsx","so_6423532")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HYPERLINK("./new_k5/query_cmdrels_weight_analyze/0.1_0.4_0.5/so_669438.xlsx","so_669438")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0.33333333333333331</v>
      </c>
    </row>
    <row r="290" spans="1:7" x14ac:dyDescent="0.15">
      <c r="A290" t="str">
        <f>HYPERLINK("./new_k5/query_cmdrels_weight_analyze/0.1_0.4_0.5/so_7052875.xlsx","so_7052875")</f>
        <v>so_7052875</v>
      </c>
      <c r="B290">
        <v>0.2</v>
      </c>
      <c r="C290">
        <v>0.2</v>
      </c>
      <c r="D290">
        <v>0.2</v>
      </c>
      <c r="E290">
        <v>0.4</v>
      </c>
      <c r="F290">
        <v>0.2</v>
      </c>
      <c r="G290">
        <v>0.4</v>
      </c>
    </row>
    <row r="291" spans="1:7" x14ac:dyDescent="0.15">
      <c r="A291" t="str">
        <f>HYPERLINK("./new_k5/query_cmdrels_weight_analyze/0.1_0.4_0.5/so_7221757.xlsx","so_7221757")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HYPERLINK("./new_k5/query_cmdrels_weight_analyze/0.1_0.4_0.5/so_750604.xlsx","so_750604")</f>
        <v>so_750604</v>
      </c>
      <c r="B292">
        <v>0</v>
      </c>
      <c r="C292">
        <v>0</v>
      </c>
      <c r="D292">
        <v>0.1111111111111111</v>
      </c>
      <c r="E292">
        <v>0</v>
      </c>
      <c r="F292">
        <v>0.1111111111111111</v>
      </c>
      <c r="G292">
        <v>8.3333333333333329E-2</v>
      </c>
    </row>
    <row r="293" spans="1:7" x14ac:dyDescent="0.15">
      <c r="A293" t="str">
        <f>HYPERLINK("./new_k5/query_cmdrels_weight_analyze/0.1_0.4_0.5/so_7575267.xlsx","so_7575267")</f>
        <v>so_7575267</v>
      </c>
      <c r="B293">
        <v>0</v>
      </c>
      <c r="C293">
        <v>0.25</v>
      </c>
      <c r="D293">
        <v>0</v>
      </c>
      <c r="E293">
        <v>0.5</v>
      </c>
      <c r="F293">
        <v>0</v>
      </c>
      <c r="G293">
        <v>0.6875</v>
      </c>
    </row>
    <row r="294" spans="1:7" x14ac:dyDescent="0.15">
      <c r="A294" t="str">
        <f>HYPERLINK("./new_k5/query_cmdrels_weight_analyze/0.1_0.4_0.5/so_7698488.xlsx","so_7698488")</f>
        <v>so_7698488</v>
      </c>
      <c r="B294">
        <v>0</v>
      </c>
      <c r="C294">
        <v>0</v>
      </c>
      <c r="D294">
        <v>0</v>
      </c>
      <c r="E294">
        <v>8.3333333333333329E-2</v>
      </c>
      <c r="F294">
        <v>0</v>
      </c>
      <c r="G294">
        <v>0.18333333333333329</v>
      </c>
    </row>
    <row r="295" spans="1:7" x14ac:dyDescent="0.15">
      <c r="A295" t="str">
        <f>HYPERLINK("./new_k5/query_cmdrels_weight_analyze/0.1_0.4_0.5/so_801095.xlsx","so_801095")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0.55555555555555547</v>
      </c>
      <c r="F295">
        <v>0.33333333333333331</v>
      </c>
      <c r="G295">
        <v>0.75555555555555554</v>
      </c>
    </row>
    <row r="296" spans="1:7" x14ac:dyDescent="0.15">
      <c r="A296" t="str">
        <f>HYPERLINK("./new_k5/query_cmdrels_weight_analyze/0.1_0.4_0.5/so_8249705.xlsx","so_8249705")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HYPERLINK("./new_k5/query_cmdrels_weight_analyze/0.1_0.4_0.5/so_8423541.xlsx","so_8423541")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HYPERLINK("./new_k5/query_cmdrels_weight_analyze/0.1_0.4_0.5/so_8654051.xlsx","so_8654051")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HYPERLINK("./new_k5/query_cmdrels_weight_analyze/0.1_0.4_0.5/so_890262.xlsx","so_890262")</f>
        <v>so_890262</v>
      </c>
      <c r="B299">
        <v>0</v>
      </c>
      <c r="C299">
        <v>0</v>
      </c>
      <c r="D299">
        <v>0</v>
      </c>
      <c r="E299">
        <v>0.1111111111111111</v>
      </c>
      <c r="F299">
        <v>0</v>
      </c>
      <c r="G299">
        <v>0.27777777777777768</v>
      </c>
    </row>
    <row r="300" spans="1:7" x14ac:dyDescent="0.15">
      <c r="A300" t="str">
        <f>HYPERLINK("./new_k5/query_cmdrels_weight_analyze/0.1_0.4_0.5/so_893585.xlsx","so_893585")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HYPERLINK("./new_k5/query_cmdrels_weight_analyze/0.1_0.4_0.5/so_9223460.xlsx","so_9223460")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HYPERLINK("./new_k5/query_cmdrels_weight_analyze/0.1_0.4_0.5/so_9245638.xlsx","so_9245638")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0.55555555555555547</v>
      </c>
      <c r="F302">
        <v>0.55555555555555547</v>
      </c>
      <c r="G302">
        <v>0.55555555555555547</v>
      </c>
    </row>
    <row r="303" spans="1:7" x14ac:dyDescent="0.15">
      <c r="A303" t="str">
        <f>HYPERLINK("./new_k5/query_cmdrels_weight_analyze/0.1_0.4_0.5/so_9304953.xlsx","so_9304953")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HYPERLINK("./new_k5/query_cmdrels_weight_analyze/0.1_0.4_0.5/so_9361816.xlsx","so_9361816")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HYPERLINK("./new_k5/query_cmdrels_weight_analyze/0.1_0.4_0.5/su_116617.xlsx","su_116617")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HYPERLINK("./new_k5/query_cmdrels_weight_analyze/0.1_0.4_0.5/su_120045.xlsx","su_120045")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HYPERLINK("./new_k5/query_cmdrels_weight_analyze/0.1_0.4_0.5/su_127863.xlsx","su_127863")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HYPERLINK("./new_k5/query_cmdrels_weight_analyze/0.1_0.4_0.5/su_135498.xlsx","su_135498")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HYPERLINK("./new_k5/query_cmdrels_weight_analyze/0.1_0.4_0.5/su_147027.xlsx","su_147027")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HYPERLINK("./new_k5/query_cmdrels_weight_analyze/0.1_0.4_0.5/su_151911.xlsx","su_151911")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0.05</v>
      </c>
    </row>
    <row r="311" spans="1:7" x14ac:dyDescent="0.15">
      <c r="A311" t="str">
        <f>HYPERLINK("./new_k5/query_cmdrels_weight_analyze/0.1_0.4_0.5/su_153415.xlsx","su_153415")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HYPERLINK("./new_k5/query_cmdrels_weight_analyze/0.1_0.4_0.5/su_156189.xlsx","su_156189")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0.37777777777777782</v>
      </c>
    </row>
    <row r="313" spans="1:7" x14ac:dyDescent="0.15">
      <c r="A313" t="str">
        <f>HYPERLINK("./new_k5/query_cmdrels_weight_analyze/0.1_0.4_0.5/su_161531.xlsx","su_161531")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HYPERLINK("./new_k5/query_cmdrels_weight_analyze/0.1_0.4_0.5/su_204209.xlsx","su_204209")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HYPERLINK("./new_k5/query_cmdrels_weight_analyze/0.1_0.4_0.5/su_214390.xlsx","su_214390")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HYPERLINK("./new_k5/query_cmdrels_weight_analyze/0.1_0.4_0.5/su_215483.xlsx","su_215483")</f>
        <v>su_215483</v>
      </c>
      <c r="B316">
        <v>0.5</v>
      </c>
      <c r="C316">
        <v>0.5</v>
      </c>
      <c r="D316">
        <v>1</v>
      </c>
      <c r="E316">
        <v>0.83333333333333326</v>
      </c>
      <c r="F316">
        <v>1</v>
      </c>
      <c r="G316">
        <v>0.83333333333333326</v>
      </c>
    </row>
    <row r="317" spans="1:7" x14ac:dyDescent="0.15">
      <c r="A317" t="str">
        <f>HYPERLINK("./new_k5/query_cmdrels_weight_analyze/0.1_0.4_0.5/su_215504.xlsx","su_215504")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0.44166666666666671</v>
      </c>
    </row>
    <row r="318" spans="1:7" x14ac:dyDescent="0.15">
      <c r="A318" t="str">
        <f>HYPERLINK("./new_k5/query_cmdrels_weight_analyze/0.1_0.4_0.5/su_227385.xlsx","su_227385")</f>
        <v>su_227385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6.25E-2</v>
      </c>
    </row>
    <row r="319" spans="1:7" x14ac:dyDescent="0.15">
      <c r="A319" t="str">
        <f>HYPERLINK("./new_k5/query_cmdrels_weight_analyze/0.1_0.4_0.5/su_273254.xlsx","su_273254")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HYPERLINK("./new_k5/query_cmdrels_weight_analyze/0.1_0.4_0.5/su_294161.xlsx","su_294161")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HYPERLINK("./new_k5/query_cmdrels_weight_analyze/0.1_0.4_0.5/su_302396.xlsx","su_302396")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HYPERLINK("./new_k5/query_cmdrels_weight_analyze/0.1_0.4_0.5/su_303981.xlsx","su_303981")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HYPERLINK("./new_k5/query_cmdrels_weight_analyze/0.1_0.4_0.5/su_305128.xlsx","su_305128")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HYPERLINK("./new_k5/query_cmdrels_weight_analyze/0.1_0.4_0.5/su_31512.xlsx","su_31512")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HYPERLINK("./new_k5/query_cmdrels_weight_analyze/0.1_0.4_0.5/su_380520.xlsx","su_380520")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</v>
      </c>
    </row>
    <row r="326" spans="1:7" x14ac:dyDescent="0.15">
      <c r="A326" t="str">
        <f>HYPERLINK("./new_k5/query_cmdrels_weight_analyze/0.1_0.4_0.5/su_38981.xlsx","su_38981")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0.55555555555555547</v>
      </c>
      <c r="F326">
        <v>0.33333333333333331</v>
      </c>
      <c r="G326">
        <v>0.55555555555555547</v>
      </c>
    </row>
    <row r="327" spans="1:7" x14ac:dyDescent="0.15">
      <c r="A327" t="str">
        <f>HYPERLINK("./new_k5/query_cmdrels_weight_analyze/0.1_0.4_0.5/su_437330.xlsx","su_437330")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HYPERLINK("./new_k5/query_cmdrels_weight_analyze/0.1_0.4_0.5/su_441379.xlsx","su_441379")</f>
        <v>su_441379</v>
      </c>
      <c r="B328">
        <v>0.125</v>
      </c>
      <c r="C328">
        <v>0.125</v>
      </c>
      <c r="D328">
        <v>0.20833333333333329</v>
      </c>
      <c r="E328">
        <v>0.25</v>
      </c>
      <c r="F328">
        <v>0.30208333333333331</v>
      </c>
      <c r="G328">
        <v>0.44374999999999998</v>
      </c>
    </row>
    <row r="329" spans="1:7" x14ac:dyDescent="0.15">
      <c r="A329" t="str">
        <f>HYPERLINK("./new_k5/query_cmdrels_weight_analyze/0.1_0.4_0.5/su_462788.xlsx","su_462788")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0.1851851851851852</v>
      </c>
      <c r="F329">
        <v>0.30555555555555558</v>
      </c>
      <c r="G329">
        <v>0.26851851851851849</v>
      </c>
    </row>
    <row r="330" spans="1:7" x14ac:dyDescent="0.15">
      <c r="A330" t="str">
        <f>HYPERLINK("./new_k5/query_cmdrels_weight_analyze/0.1_0.4_0.5/su_626606.xlsx","su_626606")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0.66666666666666663</v>
      </c>
    </row>
    <row r="331" spans="1:7" x14ac:dyDescent="0.15">
      <c r="A331" t="str">
        <f>HYPERLINK("./new_k5/query_cmdrels_weight_analyze/0.1_0.4_0.5/su_634469.xlsx","su_634469")</f>
        <v>su_634469</v>
      </c>
      <c r="B331">
        <v>0</v>
      </c>
      <c r="C331">
        <v>0</v>
      </c>
      <c r="D331">
        <v>0</v>
      </c>
      <c r="E331">
        <v>8.3333333333333329E-2</v>
      </c>
      <c r="F331">
        <v>0</v>
      </c>
      <c r="G331">
        <v>0.16666666666666671</v>
      </c>
    </row>
    <row r="332" spans="1:7" x14ac:dyDescent="0.15">
      <c r="A332" t="str">
        <f>HYPERLINK("./new_k5/query_cmdrels_weight_analyze/0.1_0.4_0.5/su_638616.xlsx","su_638616")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HYPERLINK("./new_k5/query_cmdrels_weight_analyze/0.1_0.4_0.5/su_678113.xlsx","su_678113")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HYPERLINK("./new_k5/query_cmdrels_weight_analyze/0.1_0.4_0.5/su_686394.xlsx","su_686394")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HYPERLINK("./new_k5/query_cmdrels_weight_analyze/0.1_0.4_0.5/su_716795.xlsx","su_716795")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0.125</v>
      </c>
    </row>
    <row r="336" spans="1:7" x14ac:dyDescent="0.15">
      <c r="A336" t="str">
        <f>HYPERLINK("./new_k5/query_cmdrels_weight_analyze/0.1_0.4_0.5/su_758463.xlsx","su_758463")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HYPERLINK("./new_k5/query_cmdrels_weight_analyze/0.1_0.4_0.5/su_766437.xlsx","su_766437")</f>
        <v>su_766437</v>
      </c>
      <c r="B337">
        <v>0</v>
      </c>
      <c r="C337">
        <v>0</v>
      </c>
      <c r="D337">
        <v>0</v>
      </c>
      <c r="E337">
        <v>6.6666666666666666E-2</v>
      </c>
      <c r="F337">
        <v>0.05</v>
      </c>
      <c r="G337">
        <v>0.28666666666666663</v>
      </c>
    </row>
    <row r="338" spans="1:7" x14ac:dyDescent="0.15">
      <c r="A338" t="str">
        <f>HYPERLINK("./new_k5/query_cmdrels_weight_analyze/0.1_0.4_0.5/su_904001.xlsx","su_904001")</f>
        <v>su_904001</v>
      </c>
      <c r="B338">
        <v>0.5</v>
      </c>
      <c r="C338">
        <v>0.5</v>
      </c>
      <c r="D338">
        <v>0.5</v>
      </c>
      <c r="E338">
        <v>0.83333333333333326</v>
      </c>
      <c r="F338">
        <v>0.5</v>
      </c>
      <c r="G338">
        <v>0.83333333333333326</v>
      </c>
    </row>
    <row r="339" spans="1:7" x14ac:dyDescent="0.15">
      <c r="A339" t="str">
        <f>HYPERLINK("./new_k5/query_cmdrels_weight_analyze/0.1_0.4_0.5/ul_100959.xlsx","ul_100959")</f>
        <v>ul_100959</v>
      </c>
      <c r="B339">
        <v>0</v>
      </c>
      <c r="C339">
        <v>0.5</v>
      </c>
      <c r="D339">
        <v>0.25</v>
      </c>
      <c r="E339">
        <v>0.83333333333333326</v>
      </c>
      <c r="F339">
        <v>0.25</v>
      </c>
      <c r="G339">
        <v>0.83333333333333326</v>
      </c>
    </row>
    <row r="340" spans="1:7" x14ac:dyDescent="0.15">
      <c r="A340" t="str">
        <f>HYPERLINK("./new_k5/query_cmdrels_weight_analyze/0.1_0.4_0.5/ul_101073.xlsx","ul_101073")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HYPERLINK("./new_k5/query_cmdrels_weight_analyze/0.1_0.4_0.5/ul_101237.xlsx","ul_101237")</f>
        <v>ul_101237</v>
      </c>
      <c r="B341">
        <v>0</v>
      </c>
      <c r="C341">
        <v>0</v>
      </c>
      <c r="D341">
        <v>0.25</v>
      </c>
      <c r="E341">
        <v>0.25</v>
      </c>
      <c r="F341">
        <v>0.25</v>
      </c>
      <c r="G341">
        <v>0.45</v>
      </c>
    </row>
    <row r="342" spans="1:7" x14ac:dyDescent="0.15">
      <c r="A342" t="str">
        <f>HYPERLINK("./new_k5/query_cmdrels_weight_analyze/0.1_0.4_0.5/ul_102752.xlsx","ul_102752")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HYPERLINK("./new_k5/query_cmdrels_weight_analyze/0.1_0.4_0.5/ul_108174.xlsx","ul_108174")</f>
        <v>ul_108174</v>
      </c>
      <c r="B343">
        <v>0</v>
      </c>
      <c r="C343">
        <v>0</v>
      </c>
      <c r="D343">
        <v>0.16666666666666671</v>
      </c>
      <c r="E343">
        <v>0</v>
      </c>
      <c r="F343">
        <v>0.16666666666666671</v>
      </c>
      <c r="G343">
        <v>0</v>
      </c>
    </row>
    <row r="344" spans="1:7" x14ac:dyDescent="0.15">
      <c r="A344" t="str">
        <f>HYPERLINK("./new_k5/query_cmdrels_weight_analyze/0.1_0.4_0.5/ul_109536.xlsx","ul_109536")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HYPERLINK("./new_k5/query_cmdrels_weight_analyze/0.1_0.4_0.5/ul_112050.xlsx","ul_112050")</f>
        <v>ul_112050</v>
      </c>
      <c r="B345">
        <v>0</v>
      </c>
      <c r="C345">
        <v>0.25</v>
      </c>
      <c r="D345">
        <v>0.125</v>
      </c>
      <c r="E345">
        <v>0.75</v>
      </c>
      <c r="F345">
        <v>0.125</v>
      </c>
      <c r="G345">
        <v>0.75</v>
      </c>
    </row>
    <row r="346" spans="1:7" x14ac:dyDescent="0.15">
      <c r="A346" t="str">
        <f>HYPERLINK("./new_k5/query_cmdrels_weight_analyze/0.1_0.4_0.5/ul_116070.xlsx","ul_116070")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HYPERLINK("./new_k5/query_cmdrels_weight_analyze/0.1_0.4_0.5/ul_11851.xlsx","ul_11851")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HYPERLINK("./new_k5/query_cmdrels_weight_analyze/0.1_0.4_0.5/ul_119126.xlsx","ul_119126")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HYPERLINK("./new_k5/query_cmdrels_weight_analyze/0.1_0.4_0.5/ul_121718.xlsx","ul_121718")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HYPERLINK("./new_k5/query_cmdrels_weight_analyze/0.1_0.4_0.5/ul_12227.xlsx","ul_12227")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HYPERLINK("./new_k5/query_cmdrels_weight_analyze/0.1_0.4_0.5/ul_12453.xlsx","ul_12453")</f>
        <v>ul_12453</v>
      </c>
      <c r="B351">
        <v>0</v>
      </c>
      <c r="C351">
        <v>0.25</v>
      </c>
      <c r="D351">
        <v>0.125</v>
      </c>
      <c r="E351">
        <v>0.41666666666666657</v>
      </c>
      <c r="F351">
        <v>0.125</v>
      </c>
      <c r="G351">
        <v>0.60416666666666663</v>
      </c>
    </row>
    <row r="352" spans="1:7" x14ac:dyDescent="0.15">
      <c r="A352" t="str">
        <f>HYPERLINK("./new_k5/query_cmdrels_weight_analyze/0.1_0.4_0.5/ul_12535.xlsx","ul_12535")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0.16666666666666671</v>
      </c>
    </row>
    <row r="353" spans="1:7" x14ac:dyDescent="0.15">
      <c r="A353" t="str">
        <f>HYPERLINK("./new_k5/query_cmdrels_weight_analyze/0.1_0.4_0.5/ul_127066.xlsx","ul_127066")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0.41666666666666657</v>
      </c>
    </row>
    <row r="354" spans="1:7" x14ac:dyDescent="0.15">
      <c r="A354" t="str">
        <f>HYPERLINK("./new_k5/query_cmdrels_weight_analyze/0.1_0.4_0.5/ul_128953.xlsx","ul_128953")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HYPERLINK("./new_k5/query_cmdrels_weight_analyze/0.1_0.4_0.5/ul_134829.xlsx","ul_134829")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0.66666666666666663</v>
      </c>
    </row>
    <row r="356" spans="1:7" x14ac:dyDescent="0.15">
      <c r="A356" t="str">
        <f>HYPERLINK("./new_k5/query_cmdrels_weight_analyze/0.1_0.4_0.5/ul_136371.xlsx","ul_136371")</f>
        <v>ul_136371</v>
      </c>
      <c r="B356">
        <v>0</v>
      </c>
      <c r="C356">
        <v>0</v>
      </c>
      <c r="D356">
        <v>0</v>
      </c>
      <c r="E356">
        <v>0.16666666666666671</v>
      </c>
      <c r="F356">
        <v>0</v>
      </c>
      <c r="G356">
        <v>0.33333333333333331</v>
      </c>
    </row>
    <row r="357" spans="1:7" x14ac:dyDescent="0.15">
      <c r="A357" t="str">
        <f>HYPERLINK("./new_k5/query_cmdrels_weight_analyze/0.1_0.4_0.5/ul_136884.xlsx","ul_136884")</f>
        <v>ul_136884</v>
      </c>
      <c r="B357">
        <v>0</v>
      </c>
      <c r="C357">
        <v>0</v>
      </c>
      <c r="D357">
        <v>0</v>
      </c>
      <c r="E357">
        <v>0.1111111111111111</v>
      </c>
      <c r="F357">
        <v>0</v>
      </c>
      <c r="G357">
        <v>0.1111111111111111</v>
      </c>
    </row>
    <row r="358" spans="1:7" x14ac:dyDescent="0.15">
      <c r="A358" t="str">
        <f>HYPERLINK("./new_k5/query_cmdrels_weight_analyze/0.1_0.4_0.5/ul_138398.xlsx","ul_138398")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0.05</v>
      </c>
    </row>
    <row r="359" spans="1:7" x14ac:dyDescent="0.15">
      <c r="A359" t="str">
        <f>HYPERLINK("./new_k5/query_cmdrels_weight_analyze/0.1_0.4_0.5/ul_139271.xlsx","ul_139271")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0.33333333333333331</v>
      </c>
      <c r="F359">
        <v>0.33333333333333331</v>
      </c>
      <c r="G359">
        <v>0.45833333333333331</v>
      </c>
    </row>
    <row r="360" spans="1:7" x14ac:dyDescent="0.15">
      <c r="A360" t="str">
        <f>HYPERLINK("./new_k5/query_cmdrels_weight_analyze/0.1_0.4_0.5/ul_140482.xlsx","ul_140482")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HYPERLINK("./new_k5/query_cmdrels_weight_analyze/0.1_0.4_0.5/ul_14191.xlsx","ul_14191")</f>
        <v>ul_14191</v>
      </c>
      <c r="B361">
        <v>0.33333333333333331</v>
      </c>
      <c r="C361">
        <v>0</v>
      </c>
      <c r="D361">
        <v>0.55555555555555547</v>
      </c>
      <c r="E361">
        <v>0.1111111111111111</v>
      </c>
      <c r="F361">
        <v>0.55555555555555547</v>
      </c>
      <c r="G361">
        <v>0.27777777777777768</v>
      </c>
    </row>
    <row r="362" spans="1:7" x14ac:dyDescent="0.15">
      <c r="A362" t="str">
        <f>HYPERLINK("./new_k5/query_cmdrels_weight_analyze/0.1_0.4_0.5/ul_145929.xlsx","ul_145929")</f>
        <v>ul_145929</v>
      </c>
      <c r="B362">
        <v>0</v>
      </c>
      <c r="C362">
        <v>0</v>
      </c>
      <c r="D362">
        <v>0.16666666666666671</v>
      </c>
      <c r="E362">
        <v>0.25</v>
      </c>
      <c r="F362">
        <v>0.16666666666666671</v>
      </c>
      <c r="G362">
        <v>0.5</v>
      </c>
    </row>
    <row r="363" spans="1:7" x14ac:dyDescent="0.15">
      <c r="A363" t="str">
        <f>HYPERLINK("./new_k5/query_cmdrels_weight_analyze/0.1_0.4_0.5/ul_148985.xlsx","ul_148985")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HYPERLINK("./new_k5/query_cmdrels_weight_analyze/0.1_0.4_0.5/ul_15405.xlsx","ul_15405")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HYPERLINK("./new_k5/query_cmdrels_weight_analyze/0.1_0.4_0.5/ul_155551.xlsx","ul_155551")</f>
        <v>ul_155551</v>
      </c>
      <c r="B365">
        <v>0</v>
      </c>
      <c r="C365">
        <v>0.5</v>
      </c>
      <c r="D365">
        <v>0</v>
      </c>
      <c r="E365">
        <v>0.5</v>
      </c>
      <c r="F365">
        <v>0</v>
      </c>
      <c r="G365">
        <v>0.75</v>
      </c>
    </row>
    <row r="366" spans="1:7" x14ac:dyDescent="0.15">
      <c r="A366" t="str">
        <f>HYPERLINK("./new_k5/query_cmdrels_weight_analyze/0.1_0.4_0.5/ul_159672.xlsx","ul_159672")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HYPERLINK("./new_k5/query_cmdrels_weight_analyze/0.1_0.4_0.5/ul_163845.xlsx","ul_163845")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0.29166666666666657</v>
      </c>
    </row>
    <row r="368" spans="1:7" x14ac:dyDescent="0.15">
      <c r="A368" t="str">
        <f>HYPERLINK("./new_k5/query_cmdrels_weight_analyze/0.1_0.4_0.5/ul_16407.xlsx","ul_16407")</f>
        <v>ul_16407</v>
      </c>
      <c r="B368">
        <v>0.5</v>
      </c>
      <c r="C368">
        <v>0</v>
      </c>
      <c r="D368">
        <v>0.5</v>
      </c>
      <c r="E368">
        <v>0.25</v>
      </c>
      <c r="F368">
        <v>0.75</v>
      </c>
      <c r="G368">
        <v>0.25</v>
      </c>
    </row>
    <row r="369" spans="1:7" x14ac:dyDescent="0.15">
      <c r="A369" t="str">
        <f>HYPERLINK("./new_k5/query_cmdrels_weight_analyze/0.1_0.4_0.5/ul_166558.xlsx","ul_166558")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HYPERLINK("./new_k5/query_cmdrels_weight_analyze/0.1_0.4_0.5/ul_171314.xlsx","ul_171314")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0.27777777777777768</v>
      </c>
      <c r="F370">
        <v>0.16666666666666671</v>
      </c>
      <c r="G370">
        <v>0.37777777777777782</v>
      </c>
    </row>
    <row r="371" spans="1:7" x14ac:dyDescent="0.15">
      <c r="A371" t="str">
        <f>HYPERLINK("./new_k5/query_cmdrels_weight_analyze/0.1_0.4_0.5/ul_182032.xlsx","ul_182032")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HYPERLINK("./new_k5/query_cmdrels_weight_analyze/0.1_0.4_0.5/ul_19344.xlsx","ul_19344")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HYPERLINK("./new_k5/query_cmdrels_weight_analyze/0.1_0.4_0.5/ul_19369.xlsx","ul_19369")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HYPERLINK("./new_k5/query_cmdrels_weight_analyze/0.1_0.4_0.5/ul_19485.xlsx","ul_19485")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HYPERLINK("./new_k5/query_cmdrels_weight_analyze/0.1_0.4_0.5/ul_20370.xlsx","ul_20370")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0.125</v>
      </c>
    </row>
    <row r="376" spans="1:7" x14ac:dyDescent="0.15">
      <c r="A376" t="str">
        <f>HYPERLINK("./new_k5/query_cmdrels_weight_analyze/0.1_0.4_0.5/ul_211817.xlsx","ul_211817")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HYPERLINK("./new_k5/query_cmdrels_weight_analyze/0.1_0.4_0.5/ul_212925.xlsx","ul_212925")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HYPERLINK("./new_k5/query_cmdrels_weight_analyze/0.1_0.4_0.5/ul_21471.xlsx","ul_21471")</f>
        <v>ul_21471</v>
      </c>
      <c r="B378">
        <v>0</v>
      </c>
      <c r="C378">
        <v>0</v>
      </c>
      <c r="D378">
        <v>0</v>
      </c>
      <c r="E378">
        <v>0</v>
      </c>
      <c r="F378">
        <v>8.3333333333333329E-2</v>
      </c>
      <c r="G378">
        <v>0</v>
      </c>
    </row>
    <row r="379" spans="1:7" x14ac:dyDescent="0.15">
      <c r="A379" t="str">
        <f>HYPERLINK("./new_k5/query_cmdrels_weight_analyze/0.1_0.4_0.5/ul_22545.xlsx","ul_22545")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HYPERLINK("./new_k5/query_cmdrels_weight_analyze/0.1_0.4_0.5/ul_230481.xlsx","ul_230481")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0.33333333333333331</v>
      </c>
      <c r="F380">
        <v>0.33333333333333331</v>
      </c>
      <c r="G380">
        <v>0.5</v>
      </c>
    </row>
    <row r="381" spans="1:7" x14ac:dyDescent="0.15">
      <c r="A381" t="str">
        <f>HYPERLINK("./new_k5/query_cmdrels_weight_analyze/0.1_0.4_0.5/ul_230673.xlsx","ul_230673")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0.5</v>
      </c>
    </row>
    <row r="382" spans="1:7" x14ac:dyDescent="0.15">
      <c r="A382" t="str">
        <f>HYPERLINK("./new_k5/query_cmdrels_weight_analyze/0.1_0.4_0.5/ul_230800.xlsx","ul_230800")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HYPERLINK("./new_k5/query_cmdrels_weight_analyze/0.1_0.4_0.5/ul_232384.xlsx","ul_232384")</f>
        <v>ul_232384</v>
      </c>
      <c r="B383">
        <v>0</v>
      </c>
      <c r="C383">
        <v>0.5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HYPERLINK("./new_k5/query_cmdrels_weight_analyze/0.1_0.4_0.5/ul_24441.xlsx","ul_24441")</f>
        <v>ul_24441</v>
      </c>
      <c r="B384">
        <v>0</v>
      </c>
      <c r="C384">
        <v>0</v>
      </c>
      <c r="D384">
        <v>0</v>
      </c>
      <c r="E384">
        <v>0.25</v>
      </c>
      <c r="F384">
        <v>0</v>
      </c>
      <c r="G384">
        <v>0.25</v>
      </c>
    </row>
    <row r="385" spans="1:7" x14ac:dyDescent="0.15">
      <c r="A385" t="str">
        <f>HYPERLINK("./new_k5/query_cmdrels_weight_analyze/0.1_0.4_0.5/ul_246535.xlsx","ul_246535")</f>
        <v>ul_246535</v>
      </c>
      <c r="B385">
        <v>0.2</v>
      </c>
      <c r="C385">
        <v>0.2</v>
      </c>
      <c r="D385">
        <v>0.2</v>
      </c>
      <c r="E385">
        <v>0.2</v>
      </c>
      <c r="F385">
        <v>0.2</v>
      </c>
      <c r="G385">
        <v>0.42</v>
      </c>
    </row>
    <row r="386" spans="1:7" x14ac:dyDescent="0.15">
      <c r="A386" t="str">
        <f>HYPERLINK("./new_k5/query_cmdrels_weight_analyze/0.1_0.4_0.5/ul_259791.xlsx","ul_259791")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HYPERLINK("./new_k5/query_cmdrels_weight_analyze/0.1_0.4_0.5/ul_273971.xlsx","ul_273971")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0.27777777777777768</v>
      </c>
      <c r="F387">
        <v>0.43333333333333329</v>
      </c>
      <c r="G387">
        <v>0.27777777777777768</v>
      </c>
    </row>
    <row r="388" spans="1:7" x14ac:dyDescent="0.15">
      <c r="A388" t="str">
        <f>HYPERLINK("./new_k5/query_cmdrels_weight_analyze/0.1_0.4_0.5/ul_28553.xlsx","ul_28553")</f>
        <v>ul_28553</v>
      </c>
      <c r="B388">
        <v>0.25</v>
      </c>
      <c r="C388">
        <v>0.25</v>
      </c>
      <c r="D388">
        <v>0.5</v>
      </c>
      <c r="E388">
        <v>0.25</v>
      </c>
      <c r="F388">
        <v>0.5</v>
      </c>
      <c r="G388">
        <v>0.25</v>
      </c>
    </row>
    <row r="389" spans="1:7" x14ac:dyDescent="0.15">
      <c r="A389" t="str">
        <f>HYPERLINK("./new_k5/query_cmdrels_weight_analyze/0.1_0.4_0.5/ul_288521.xlsx","ul_288521")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HYPERLINK("./new_k5/query_cmdrels_weight_analyze/0.1_0.4_0.5/ul_32290.xlsx","ul_32290")</f>
        <v>ul_32290</v>
      </c>
      <c r="B390">
        <v>0</v>
      </c>
      <c r="C390">
        <v>0</v>
      </c>
      <c r="D390">
        <v>0</v>
      </c>
      <c r="E390">
        <v>8.3333333333333329E-2</v>
      </c>
      <c r="F390">
        <v>0</v>
      </c>
      <c r="G390">
        <v>8.3333333333333329E-2</v>
      </c>
    </row>
    <row r="391" spans="1:7" x14ac:dyDescent="0.15">
      <c r="A391" t="str">
        <f>HYPERLINK("./new_k5/query_cmdrels_weight_analyze/0.1_0.4_0.5/ul_328882.xlsx","ul_328882")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HYPERLINK("./new_k5/query_cmdrels_weight_analyze/0.1_0.4_0.5/ul_35131.xlsx","ul_35131")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0.91666666666666663</v>
      </c>
    </row>
    <row r="393" spans="1:7" x14ac:dyDescent="0.15">
      <c r="A393" t="str">
        <f>HYPERLINK("./new_k5/query_cmdrels_weight_analyze/0.1_0.4_0.5/ul_35333.xlsx","ul_35333")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HYPERLINK("./new_k5/query_cmdrels_weight_analyze/0.1_0.4_0.5/ul_35711.xlsx","ul_35711")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HYPERLINK("./new_k5/query_cmdrels_weight_analyze/0.1_0.4_0.5/ul_3575.xlsx","ul_3575")</f>
        <v>ul_3575</v>
      </c>
      <c r="B395">
        <v>0</v>
      </c>
      <c r="C395">
        <v>0.16666666666666671</v>
      </c>
      <c r="D395">
        <v>8.3333333333333329E-2</v>
      </c>
      <c r="E395">
        <v>0.16666666666666671</v>
      </c>
      <c r="F395">
        <v>8.3333333333333329E-2</v>
      </c>
      <c r="G395">
        <v>0.16666666666666671</v>
      </c>
    </row>
    <row r="396" spans="1:7" x14ac:dyDescent="0.15">
      <c r="A396" t="str">
        <f>HYPERLINK("./new_k5/query_cmdrels_weight_analyze/0.1_0.4_0.5/ul_35832.xlsx","ul_35832")</f>
        <v>ul_35832</v>
      </c>
      <c r="B396">
        <v>0.5</v>
      </c>
      <c r="C396">
        <v>0.5</v>
      </c>
      <c r="D396">
        <v>0.5</v>
      </c>
      <c r="E396">
        <v>1</v>
      </c>
      <c r="F396">
        <v>0.5</v>
      </c>
      <c r="G396">
        <v>1</v>
      </c>
    </row>
    <row r="397" spans="1:7" x14ac:dyDescent="0.15">
      <c r="A397" t="str">
        <f>HYPERLINK("./new_k5/query_cmdrels_weight_analyze/0.1_0.4_0.5/ul_370318.xlsx","ul_370318")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0.23809523809523811</v>
      </c>
      <c r="F397">
        <v>0.14285714285714279</v>
      </c>
      <c r="G397">
        <v>0.34523809523809518</v>
      </c>
    </row>
    <row r="398" spans="1:7" x14ac:dyDescent="0.15">
      <c r="A398" t="str">
        <f>HYPERLINK("./new_k5/query_cmdrels_weight_analyze/0.1_0.4_0.5/ul_37329.xlsx","ul_37329")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0.66666666666666663</v>
      </c>
      <c r="F398">
        <v>0.33333333333333331</v>
      </c>
      <c r="G398">
        <v>0.66666666666666663</v>
      </c>
    </row>
    <row r="399" spans="1:7" x14ac:dyDescent="0.15">
      <c r="A399" t="str">
        <f>HYPERLINK("./new_k5/query_cmdrels_weight_analyze/0.1_0.4_0.5/ul_38209.xlsx","ul_38209")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HYPERLINK("./new_k5/query_cmdrels_weight_analyze/0.1_0.4_0.5/ul_41246.xlsx","ul_41246")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HYPERLINK("./new_k5/query_cmdrels_weight_analyze/0.1_0.4_0.5/ul_41362.xlsx","ul_41362")</f>
        <v>ul_41362</v>
      </c>
      <c r="B401">
        <v>0</v>
      </c>
      <c r="C401">
        <v>0</v>
      </c>
      <c r="D401">
        <v>0</v>
      </c>
      <c r="E401">
        <v>8.3333333333333329E-2</v>
      </c>
      <c r="F401">
        <v>0</v>
      </c>
      <c r="G401">
        <v>8.3333333333333329E-2</v>
      </c>
    </row>
    <row r="402" spans="1:7" x14ac:dyDescent="0.15">
      <c r="A402" t="str">
        <f>HYPERLINK("./new_k5/query_cmdrels_weight_analyze/0.1_0.4_0.5/ul_48200.xlsx","ul_48200")</f>
        <v>ul_48200</v>
      </c>
      <c r="B402">
        <v>0</v>
      </c>
      <c r="C402">
        <v>0</v>
      </c>
      <c r="D402">
        <v>0</v>
      </c>
      <c r="E402">
        <v>0.16666666666666671</v>
      </c>
      <c r="F402">
        <v>0</v>
      </c>
      <c r="G402">
        <v>0.41666666666666657</v>
      </c>
    </row>
    <row r="403" spans="1:7" x14ac:dyDescent="0.15">
      <c r="A403" t="str">
        <f>HYPERLINK("./new_k5/query_cmdrels_weight_analyze/0.1_0.4_0.5/ul_50098.xlsx","ul_50098")</f>
        <v>ul_50098</v>
      </c>
      <c r="B403">
        <v>0</v>
      </c>
      <c r="C403">
        <v>0.1</v>
      </c>
      <c r="D403">
        <v>0.1166666666666667</v>
      </c>
      <c r="E403">
        <v>0.16666666666666671</v>
      </c>
      <c r="F403">
        <v>0.1166666666666667</v>
      </c>
      <c r="G403">
        <v>0.24166666666666661</v>
      </c>
    </row>
    <row r="404" spans="1:7" x14ac:dyDescent="0.15">
      <c r="A404" t="str">
        <f>HYPERLINK("./new_k5/query_cmdrels_weight_analyze/0.1_0.4_0.5/ul_50785.xlsx","ul_50785")</f>
        <v>ul_50785</v>
      </c>
      <c r="B404">
        <v>0.25</v>
      </c>
      <c r="C404">
        <v>0.25</v>
      </c>
      <c r="D404">
        <v>0.25</v>
      </c>
      <c r="E404">
        <v>0.5</v>
      </c>
      <c r="F404">
        <v>0.25</v>
      </c>
      <c r="G404">
        <v>0.5</v>
      </c>
    </row>
    <row r="405" spans="1:7" x14ac:dyDescent="0.15">
      <c r="A405" t="str">
        <f>HYPERLINK("./new_k5/query_cmdrels_weight_analyze/0.1_0.4_0.5/ul_5085.xlsx","ul_5085")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HYPERLINK("./new_k5/query_cmdrels_weight_analyze/0.1_0.4_0.5/ul_53737.xlsx","ul_53737")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HYPERLINK("./new_k5/query_cmdrels_weight_analyze/0.1_0.4_0.5/ul_55125.xlsx","ul_55125")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HYPERLINK("./new_k5/query_cmdrels_weight_analyze/0.1_0.4_0.5/ul_56453.xlsx","ul_56453")</f>
        <v>ul_56453</v>
      </c>
      <c r="B408">
        <v>0</v>
      </c>
      <c r="C408">
        <v>0</v>
      </c>
      <c r="D408">
        <v>8.3333333333333329E-2</v>
      </c>
      <c r="E408">
        <v>0.125</v>
      </c>
      <c r="F408">
        <v>8.3333333333333329E-2</v>
      </c>
      <c r="G408">
        <v>0.25</v>
      </c>
    </row>
    <row r="409" spans="1:7" x14ac:dyDescent="0.15">
      <c r="A409" t="str">
        <f>HYPERLINK("./new_k5/query_cmdrels_weight_analyze/0.1_0.4_0.5/ul_63648.xlsx","ul_63648")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HYPERLINK("./new_k5/query_cmdrels_weight_analyze/0.1_0.4_0.5/ul_6402.xlsx","ul_6402")</f>
        <v>ul_6402</v>
      </c>
      <c r="B410">
        <v>0.33333333333333331</v>
      </c>
      <c r="C410">
        <v>0</v>
      </c>
      <c r="D410">
        <v>0.33333333333333331</v>
      </c>
      <c r="E410">
        <v>0.16666666666666671</v>
      </c>
      <c r="F410">
        <v>0.33333333333333331</v>
      </c>
      <c r="G410">
        <v>0.16666666666666671</v>
      </c>
    </row>
    <row r="411" spans="1:7" x14ac:dyDescent="0.15">
      <c r="A411" t="str">
        <f>HYPERLINK("./new_k5/query_cmdrels_weight_analyze/0.1_0.4_0.5/ul_65106.xlsx","ul_65106")</f>
        <v>ul_65106</v>
      </c>
      <c r="B411">
        <v>0.33333333333333331</v>
      </c>
      <c r="C411">
        <v>0.33333333333333331</v>
      </c>
      <c r="D411">
        <v>1</v>
      </c>
      <c r="E411">
        <v>0.66666666666666663</v>
      </c>
      <c r="F411">
        <v>1</v>
      </c>
      <c r="G411">
        <v>0.66666666666666663</v>
      </c>
    </row>
    <row r="412" spans="1:7" x14ac:dyDescent="0.15">
      <c r="A412" t="str">
        <f>HYPERLINK("./new_k5/query_cmdrels_weight_analyze/0.1_0.4_0.5/ul_65932.xlsx","ul_65932")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HYPERLINK("./new_k5/query_cmdrels_weight_analyze/0.1_0.4_0.5/ul_6596.xlsx","ul_6596")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HYPERLINK("./new_k5/query_cmdrels_weight_analyze/0.1_0.4_0.5/ul_67503.xlsx","ul_67503")</f>
        <v>ul_67503</v>
      </c>
      <c r="B414">
        <v>0</v>
      </c>
      <c r="C414">
        <v>0.5</v>
      </c>
      <c r="D414">
        <v>0.25</v>
      </c>
      <c r="E414">
        <v>0.5</v>
      </c>
      <c r="F414">
        <v>0.5</v>
      </c>
      <c r="G414">
        <v>0.7</v>
      </c>
    </row>
    <row r="415" spans="1:7" x14ac:dyDescent="0.15">
      <c r="A415" t="str">
        <f>HYPERLINK("./new_k5/query_cmdrels_weight_analyze/0.1_0.4_0.5/ul_67592.xlsx","ul_67592")</f>
        <v>ul_67592</v>
      </c>
      <c r="B415">
        <v>0.33333333333333331</v>
      </c>
      <c r="C415">
        <v>0</v>
      </c>
      <c r="D415">
        <v>0.33333333333333331</v>
      </c>
      <c r="E415">
        <v>0</v>
      </c>
      <c r="F415">
        <v>0.33333333333333331</v>
      </c>
      <c r="G415">
        <v>8.3333333333333329E-2</v>
      </c>
    </row>
    <row r="416" spans="1:7" x14ac:dyDescent="0.15">
      <c r="A416" t="str">
        <f>HYPERLINK("./new_k5/query_cmdrels_weight_analyze/0.1_0.4_0.5/ul_70581.xlsx","ul_70581")</f>
        <v>ul_70581</v>
      </c>
      <c r="B416">
        <v>0</v>
      </c>
      <c r="C416">
        <v>0</v>
      </c>
      <c r="D416">
        <v>0.1</v>
      </c>
      <c r="E416">
        <v>6.6666666666666666E-2</v>
      </c>
      <c r="F416">
        <v>0.1</v>
      </c>
      <c r="G416">
        <v>0.28666666666666663</v>
      </c>
    </row>
    <row r="417" spans="1:7" x14ac:dyDescent="0.15">
      <c r="A417" t="str">
        <f>HYPERLINK("./new_k5/query_cmdrels_weight_analyze/0.1_0.4_0.5/ul_70614.xlsx","ul_70614")</f>
        <v>ul_70614</v>
      </c>
      <c r="B417">
        <v>1</v>
      </c>
      <c r="C417">
        <v>0</v>
      </c>
      <c r="D417">
        <v>1</v>
      </c>
      <c r="E417">
        <v>0.33333333333333331</v>
      </c>
      <c r="F417">
        <v>1</v>
      </c>
      <c r="G417">
        <v>0.33333333333333331</v>
      </c>
    </row>
    <row r="418" spans="1:7" x14ac:dyDescent="0.15">
      <c r="A418" t="str">
        <f>HYPERLINK("./new_k5/query_cmdrels_weight_analyze/0.1_0.4_0.5/ul_71465.xlsx","ul_71465")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HYPERLINK("./new_k5/query_cmdrels_weight_analyze/0.1_0.4_0.5/ul_7226.xlsx","ul_7226")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0.55555555555555547</v>
      </c>
      <c r="F419">
        <v>0.33333333333333331</v>
      </c>
      <c r="G419">
        <v>0.55555555555555547</v>
      </c>
    </row>
    <row r="420" spans="1:7" x14ac:dyDescent="0.15">
      <c r="A420" t="str">
        <f>HYPERLINK("./new_k5/query_cmdrels_weight_analyze/0.1_0.4_0.5/ul_78182.xlsx","ul_78182")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</v>
      </c>
    </row>
    <row r="421" spans="1:7" x14ac:dyDescent="0.15">
      <c r="A421" t="str">
        <f>HYPERLINK("./new_k5/query_cmdrels_weight_analyze/0.1_0.4_0.5/ul_79678.xlsx","ul_79678")</f>
        <v>ul_79678</v>
      </c>
      <c r="B421">
        <v>0</v>
      </c>
      <c r="C421">
        <v>0</v>
      </c>
      <c r="D421">
        <v>0.25</v>
      </c>
      <c r="E421">
        <v>0.25</v>
      </c>
      <c r="F421">
        <v>0.25</v>
      </c>
      <c r="G421">
        <v>0.25</v>
      </c>
    </row>
    <row r="422" spans="1:7" x14ac:dyDescent="0.15">
      <c r="A422" t="str">
        <f>HYPERLINK("./new_k5/query_cmdrels_weight_analyze/0.1_0.4_0.5/ul_79702.xlsx","ul_79702")</f>
        <v>ul_79702</v>
      </c>
      <c r="B422">
        <v>0</v>
      </c>
      <c r="C422">
        <v>0.33333333333333331</v>
      </c>
      <c r="D422">
        <v>0</v>
      </c>
      <c r="E422">
        <v>0.55555555555555547</v>
      </c>
      <c r="F422">
        <v>0</v>
      </c>
      <c r="G422">
        <v>0.75555555555555554</v>
      </c>
    </row>
    <row r="423" spans="1:7" x14ac:dyDescent="0.15">
      <c r="A423" t="str">
        <f>HYPERLINK("./new_k5/query_cmdrels_weight_analyze/0.1_0.4_0.5/ul_83593.xlsx","ul_83593")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HYPERLINK("./new_k5/query_cmdrels_weight_analyze/0.1_0.4_0.5/ul_84381.xlsx","ul_84381")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HYPERLINK("./new_k5/query_cmdrels_weight_analyze/0.1_0.4_0.5/ul_85180.xlsx","ul_85180")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0.27777777777777768</v>
      </c>
    </row>
    <row r="426" spans="1:7" x14ac:dyDescent="0.15">
      <c r="A426" t="str">
        <f>HYPERLINK("./new_k5/query_cmdrels_weight_analyze/0.1_0.4_0.5/ul_86071.xlsx","ul_86071")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HYPERLINK("./new_k5/query_cmdrels_weight_analyze/0.1_0.4_0.5/ul_86729.xlsx","ul_86729")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HYPERLINK("./new_k5/query_cmdrels_weight_analyze/0.1_0.4_0.5/ul_88824.xlsx","ul_88824")</f>
        <v>ul_88824</v>
      </c>
      <c r="B428">
        <v>0</v>
      </c>
      <c r="C428">
        <v>0</v>
      </c>
      <c r="D428">
        <v>0</v>
      </c>
      <c r="E428">
        <v>0.16666666666666671</v>
      </c>
      <c r="F428">
        <v>0</v>
      </c>
      <c r="G428">
        <v>0.33333333333333331</v>
      </c>
    </row>
    <row r="429" spans="1:7" x14ac:dyDescent="0.15">
      <c r="A429" t="str">
        <f>HYPERLINK("./new_k5/query_cmdrels_weight_analyze/0.1_0.4_0.5/ul_8945.xlsx","ul_8945")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HYPERLINK("./new_k5/query_cmdrels_weight_analyze/0.1_0.4_0.5/ul_89933.xlsx","ul_89933")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HYPERLINK("./new_k5/query_cmdrels_weight_analyze/0.1_0.4_0.5/ul_91297.xlsx","ul_91297")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HYPERLINK("./new_k5/query_cmdrels_weight_analyze/0.1_0.4_0.5/ul_9252.xlsx","ul_9252")</f>
        <v>ul_9252</v>
      </c>
      <c r="B432">
        <v>0</v>
      </c>
      <c r="C432">
        <v>0</v>
      </c>
      <c r="D432">
        <v>0.23333333333333331</v>
      </c>
      <c r="E432">
        <v>6.6666666666666666E-2</v>
      </c>
      <c r="F432">
        <v>0.23333333333333331</v>
      </c>
      <c r="G432">
        <v>0.1466666666666667</v>
      </c>
    </row>
    <row r="433" spans="1:7" x14ac:dyDescent="0.15">
      <c r="A433" t="str">
        <f>HYPERLINK("./new_k5/query_cmdrels_weight_analyze/0.1_0.4_0.5/ul_92560.xlsx","ul_92560")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0.5</v>
      </c>
    </row>
    <row r="434" spans="1:7" x14ac:dyDescent="0.15">
      <c r="A434" t="str">
        <f>HYPERLINK("./new_k5/query_cmdrels_weight_analyze/0.1_0.4_0.5/ul_92799.xlsx","ul_92799")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0.27777777777777768</v>
      </c>
      <c r="F434">
        <v>0.53611111111111109</v>
      </c>
      <c r="G434">
        <v>0.53611111111111109</v>
      </c>
    </row>
    <row r="435" spans="1:7" x14ac:dyDescent="0.15">
      <c r="A435" t="str">
        <f>HYPERLINK("./new_k5/query_cmdrels_weight_analyze/0.1_0.4_0.5/ul_93139.xlsx","ul_93139")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HYPERLINK("./new_k5/query_cmdrels_weight_analyze/0.1_0.4_0.5/ul_98461.xlsx","ul_98461")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HYPERLINK("./new_k5/query_cmdrels_weight_analyze/0.1_0.5_0.4/au_102733.xlsx","au_102733")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HYPERLINK("./new_k5/query_cmdrels_weight_analyze/0.1_0.5_0.4/au_1029436.xlsx","au_1029436")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HYPERLINK("./new_k5/query_cmdrels_weight_analyze/0.1_0.5_0.4/au_1029502.xlsx","au_1029502")</f>
        <v>au_1029502</v>
      </c>
      <c r="B5">
        <v>0.25</v>
      </c>
      <c r="C5">
        <v>0.25</v>
      </c>
      <c r="D5">
        <v>0.25</v>
      </c>
      <c r="E5">
        <v>0.25</v>
      </c>
      <c r="F5">
        <v>0.375</v>
      </c>
      <c r="G5">
        <v>0.25</v>
      </c>
    </row>
    <row r="6" spans="1:7" x14ac:dyDescent="0.15">
      <c r="A6" t="str">
        <f>HYPERLINK("./new_k5/query_cmdrels_weight_analyze/0.1_0.5_0.4/au_1029531.xlsx","au_1029531")</f>
        <v>au_1029531</v>
      </c>
      <c r="B6">
        <v>0.33333333333333331</v>
      </c>
      <c r="C6">
        <v>0</v>
      </c>
      <c r="D6">
        <v>0.33333333333333331</v>
      </c>
      <c r="E6">
        <v>0.1111111111111111</v>
      </c>
      <c r="F6">
        <v>0.46666666666666662</v>
      </c>
      <c r="G6">
        <v>0.1111111111111111</v>
      </c>
    </row>
    <row r="7" spans="1:7" x14ac:dyDescent="0.15">
      <c r="A7" t="str">
        <f>HYPERLINK("./new_k5/query_cmdrels_weight_analyze/0.1_0.5_0.4/au_104542.xlsx","au_104542")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HYPERLINK("./new_k5/query_cmdrels_weight_analyze/0.1_0.5_0.4/au_109070.xlsx","au_109070")</f>
        <v>au_109070</v>
      </c>
      <c r="B8">
        <v>0</v>
      </c>
      <c r="C8">
        <v>0</v>
      </c>
      <c r="D8">
        <v>0.23333333333333331</v>
      </c>
      <c r="E8">
        <v>0</v>
      </c>
      <c r="F8">
        <v>0.3833333333333333</v>
      </c>
      <c r="G8">
        <v>0.05</v>
      </c>
    </row>
    <row r="9" spans="1:7" x14ac:dyDescent="0.15">
      <c r="A9" t="str">
        <f>HYPERLINK("./new_k5/query_cmdrels_weight_analyze/0.1_0.5_0.4/au_109381.xlsx","au_109381")</f>
        <v>au_109381</v>
      </c>
      <c r="B9">
        <v>0</v>
      </c>
      <c r="C9">
        <v>0.5</v>
      </c>
      <c r="D9">
        <v>0.25</v>
      </c>
      <c r="E9">
        <v>0.5</v>
      </c>
      <c r="F9">
        <v>0.25</v>
      </c>
      <c r="G9">
        <v>0.5</v>
      </c>
    </row>
    <row r="10" spans="1:7" x14ac:dyDescent="0.15">
      <c r="A10" t="str">
        <f>HYPERLINK("./new_k5/query_cmdrels_weight_analyze/0.1_0.5_0.4/au_110477.xlsx","au_110477")</f>
        <v>au_110477</v>
      </c>
      <c r="B10">
        <v>0.25</v>
      </c>
      <c r="C10">
        <v>0.25</v>
      </c>
      <c r="D10">
        <v>0.5</v>
      </c>
      <c r="E10">
        <v>0.41666666666666657</v>
      </c>
      <c r="F10">
        <v>0.5</v>
      </c>
      <c r="G10">
        <v>0.60416666666666663</v>
      </c>
    </row>
    <row r="11" spans="1:7" x14ac:dyDescent="0.15">
      <c r="A11" t="str">
        <f>HYPERLINK("./new_k5/query_cmdrels_weight_analyze/0.1_0.5_0.4/au_111678.xlsx","au_111678")</f>
        <v>au_111678</v>
      </c>
      <c r="B11">
        <v>0</v>
      </c>
      <c r="C11">
        <v>0</v>
      </c>
      <c r="D11">
        <v>0.1111111111111111</v>
      </c>
      <c r="E11">
        <v>0.16666666666666671</v>
      </c>
      <c r="F11">
        <v>0.1111111111111111</v>
      </c>
      <c r="G11">
        <v>0.16666666666666671</v>
      </c>
    </row>
    <row r="12" spans="1:7" x14ac:dyDescent="0.15">
      <c r="A12" t="str">
        <f>HYPERLINK("./new_k5/query_cmdrels_weight_analyze/0.1_0.5_0.4/au_112512.xlsx","au_112512")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HYPERLINK("./new_k5/query_cmdrels_weight_analyze/0.1_0.5_0.4/au_115369.xlsx","au_115369")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HYPERLINK("./new_k5/query_cmdrels_weight_analyze/0.1_0.5_0.4/au_11789.xlsx","au_11789")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HYPERLINK("./new_k5/query_cmdrels_weight_analyze/0.1_0.5_0.4/au_117950.xlsx","au_117950")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0.1</v>
      </c>
    </row>
    <row r="16" spans="1:7" x14ac:dyDescent="0.15">
      <c r="A16" t="str">
        <f>HYPERLINK("./new_k5/query_cmdrels_weight_analyze/0.1_0.5_0.4/au_122113.xlsx","au_122113")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HYPERLINK("./new_k5/query_cmdrels_weight_analyze/0.1_0.5_0.4/au_123798.xlsx","au_123798")</f>
        <v>au_123798</v>
      </c>
      <c r="B17">
        <v>0</v>
      </c>
      <c r="C17">
        <v>0</v>
      </c>
      <c r="D17">
        <v>5.5555555555555552E-2</v>
      </c>
      <c r="E17">
        <v>5.5555555555555552E-2</v>
      </c>
      <c r="F17">
        <v>0.23888888888888879</v>
      </c>
      <c r="G17">
        <v>0.23888888888888879</v>
      </c>
    </row>
    <row r="18" spans="1:7" x14ac:dyDescent="0.15">
      <c r="A18" t="str">
        <f>HYPERLINK("./new_k5/query_cmdrels_weight_analyze/0.1_0.5_0.4/au_125257.xlsx","au_125257")</f>
        <v>au_125257</v>
      </c>
      <c r="B18">
        <v>0.25</v>
      </c>
      <c r="C18">
        <v>0.25</v>
      </c>
      <c r="D18">
        <v>0.41666666666666657</v>
      </c>
      <c r="E18">
        <v>0.25</v>
      </c>
      <c r="F18">
        <v>0.56666666666666665</v>
      </c>
      <c r="G18">
        <v>0.375</v>
      </c>
    </row>
    <row r="19" spans="1:7" x14ac:dyDescent="0.15">
      <c r="A19" t="str">
        <f>HYPERLINK("./new_k5/query_cmdrels_weight_analyze/0.1_0.5_0.4/au_126153.xlsx","au_126153")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0.33333333333333331</v>
      </c>
      <c r="F19">
        <v>0.45833333333333331</v>
      </c>
      <c r="G19">
        <v>0.33333333333333331</v>
      </c>
    </row>
    <row r="20" spans="1:7" x14ac:dyDescent="0.15">
      <c r="A20" t="str">
        <f>HYPERLINK("./new_k5/query_cmdrels_weight_analyze/0.1_0.5_0.4/au_127326.xlsx","au_127326")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HYPERLINK("./new_k5/query_cmdrels_weight_analyze/0.1_0.5_0.4/au_128463.xlsx","au_128463")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HYPERLINK("./new_k5/query_cmdrels_weight_analyze/0.1_0.5_0.4/au_130393.xlsx","au_130393")</f>
        <v>au_130393</v>
      </c>
      <c r="B22">
        <v>0</v>
      </c>
      <c r="C22">
        <v>0.25</v>
      </c>
      <c r="D22">
        <v>0.125</v>
      </c>
      <c r="E22">
        <v>0.25</v>
      </c>
      <c r="F22">
        <v>0.125</v>
      </c>
      <c r="G22">
        <v>0.35</v>
      </c>
    </row>
    <row r="23" spans="1:7" x14ac:dyDescent="0.15">
      <c r="A23" t="str">
        <f>HYPERLINK("./new_k5/query_cmdrels_weight_analyze/0.1_0.5_0.4/au_131570.xlsx","au_131570")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HYPERLINK("./new_k5/query_cmdrels_weight_analyze/0.1_0.5_0.4/au_133318.xlsx","au_133318")</f>
        <v>au_133318</v>
      </c>
      <c r="B24">
        <v>0</v>
      </c>
      <c r="C24">
        <v>0.25</v>
      </c>
      <c r="D24">
        <v>0</v>
      </c>
      <c r="E24">
        <v>0.41666666666666657</v>
      </c>
      <c r="F24">
        <v>0</v>
      </c>
      <c r="G24">
        <v>0.41666666666666657</v>
      </c>
    </row>
    <row r="25" spans="1:7" x14ac:dyDescent="0.15">
      <c r="A25" t="str">
        <f>HYPERLINK("./new_k5/query_cmdrels_weight_analyze/0.1_0.5_0.4/au_133343.xlsx","au_133343")</f>
        <v>au_133343</v>
      </c>
      <c r="B25">
        <v>0</v>
      </c>
      <c r="C25">
        <v>0</v>
      </c>
      <c r="D25">
        <v>0</v>
      </c>
      <c r="E25">
        <v>0</v>
      </c>
      <c r="F25">
        <v>0</v>
      </c>
      <c r="G25">
        <v>8.3333333333333329E-2</v>
      </c>
    </row>
    <row r="26" spans="1:7" x14ac:dyDescent="0.15">
      <c r="A26" t="str">
        <f>HYPERLINK("./new_k5/query_cmdrels_weight_analyze/0.1_0.5_0.4/au_133389.xlsx","au_133389")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HYPERLINK("./new_k5/query_cmdrels_weight_analyze/0.1_0.5_0.4/au_141277.xlsx","au_141277")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HYPERLINK("./new_k5/query_cmdrels_weight_analyze/0.1_0.5_0.4/au_143819.xlsx","au_143819")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0.32380952380952382</v>
      </c>
    </row>
    <row r="29" spans="1:7" x14ac:dyDescent="0.15">
      <c r="A29" t="str">
        <f>HYPERLINK("./new_k5/query_cmdrels_weight_analyze/0.1_0.5_0.4/au_145935.xlsx","au_145935")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HYPERLINK("./new_k5/query_cmdrels_weight_analyze/0.1_0.5_0.4/au_147241.xlsx","au_147241")</f>
        <v>au_147241</v>
      </c>
      <c r="B30">
        <v>0</v>
      </c>
      <c r="C30">
        <v>0</v>
      </c>
      <c r="D30">
        <v>0.29166666666666657</v>
      </c>
      <c r="E30">
        <v>8.3333333333333329E-2</v>
      </c>
      <c r="F30">
        <v>0.29166666666666657</v>
      </c>
      <c r="G30">
        <v>0.18333333333333329</v>
      </c>
    </row>
    <row r="31" spans="1:7" x14ac:dyDescent="0.15">
      <c r="A31" t="str">
        <f>HYPERLINK("./new_k5/query_cmdrels_weight_analyze/0.1_0.5_0.4/au_147800.xlsx","au_147800")</f>
        <v>au_147800</v>
      </c>
      <c r="B31">
        <v>0</v>
      </c>
      <c r="C31">
        <v>0</v>
      </c>
      <c r="D31">
        <v>0.1111111111111111</v>
      </c>
      <c r="E31">
        <v>0.1111111111111111</v>
      </c>
      <c r="F31">
        <v>0.1111111111111111</v>
      </c>
      <c r="G31">
        <v>0.1111111111111111</v>
      </c>
    </row>
    <row r="32" spans="1:7" x14ac:dyDescent="0.15">
      <c r="A32" t="str">
        <f>HYPERLINK("./new_k5/query_cmdrels_weight_analyze/0.1_0.5_0.4/au_148321.xlsx","au_148321")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0.27777777777777768</v>
      </c>
      <c r="F32">
        <v>0.16666666666666671</v>
      </c>
      <c r="G32">
        <v>0.27777777777777768</v>
      </c>
    </row>
    <row r="33" spans="1:7" x14ac:dyDescent="0.15">
      <c r="A33" t="str">
        <f>HYPERLINK("./new_k5/query_cmdrels_weight_analyze/0.1_0.5_0.4/au_148638.xlsx","au_148638")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HYPERLINK("./new_k5/query_cmdrels_weight_analyze/0.1_0.5_0.4/au_151049.xlsx","au_151049")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HYPERLINK("./new_k5/query_cmdrels_weight_analyze/0.1_0.5_0.4/au_151941.xlsx","au_151941")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HYPERLINK("./new_k5/query_cmdrels_weight_analyze/0.1_0.5_0.4/au_152297.xlsx","au_152297")</f>
        <v>au_152297</v>
      </c>
      <c r="B36">
        <v>0</v>
      </c>
      <c r="C36">
        <v>0</v>
      </c>
      <c r="D36">
        <v>7.1428571428571425E-2</v>
      </c>
      <c r="E36">
        <v>0.16666666666666671</v>
      </c>
      <c r="F36">
        <v>7.1428571428571425E-2</v>
      </c>
      <c r="G36">
        <v>0.25238095238095237</v>
      </c>
    </row>
    <row r="37" spans="1:7" x14ac:dyDescent="0.15">
      <c r="A37" t="str">
        <f>HYPERLINK("./new_k5/query_cmdrels_weight_analyze/0.1_0.5_0.4/au_153976.xlsx","au_153976")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0.27777777777777768</v>
      </c>
      <c r="F37">
        <v>0.33333333333333331</v>
      </c>
      <c r="G37">
        <v>0.37777777777777782</v>
      </c>
    </row>
    <row r="38" spans="1:7" x14ac:dyDescent="0.15">
      <c r="A38" t="str">
        <f>HYPERLINK("./new_k5/query_cmdrels_weight_analyze/0.1_0.5_0.4/au_154431.xlsx","au_154431")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HYPERLINK("./new_k5/query_cmdrels_weight_analyze/0.1_0.5_0.4/au_159708.xlsx","au_159708")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0.55555555555555547</v>
      </c>
      <c r="F39">
        <v>0.33333333333333331</v>
      </c>
      <c r="G39">
        <v>0.55555555555555547</v>
      </c>
    </row>
    <row r="40" spans="1:7" x14ac:dyDescent="0.15">
      <c r="A40" t="str">
        <f>HYPERLINK("./new_k5/query_cmdrels_weight_analyze/0.1_0.5_0.4/au_160869.xlsx","au_160869")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HYPERLINK("./new_k5/query_cmdrels_weight_analyze/0.1_0.5_0.4/au_161313.xlsx","au_161313")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0.125</v>
      </c>
    </row>
    <row r="42" spans="1:7" x14ac:dyDescent="0.15">
      <c r="A42" t="str">
        <f>HYPERLINK("./new_k5/query_cmdrels_weight_analyze/0.1_0.5_0.4/au_162075.xlsx","au_162075")</f>
        <v>au_162075</v>
      </c>
      <c r="B42">
        <v>0.25</v>
      </c>
      <c r="C42">
        <v>0</v>
      </c>
      <c r="D42">
        <v>0.5</v>
      </c>
      <c r="E42">
        <v>8.3333333333333329E-2</v>
      </c>
      <c r="F42">
        <v>0.5</v>
      </c>
      <c r="G42">
        <v>0.20833333333333329</v>
      </c>
    </row>
    <row r="43" spans="1:7" x14ac:dyDescent="0.15">
      <c r="A43" t="str">
        <f>HYPERLINK("./new_k5/query_cmdrels_weight_analyze/0.1_0.5_0.4/au_16277.xlsx","au_16277")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0.83333333333333337</v>
      </c>
    </row>
    <row r="44" spans="1:7" x14ac:dyDescent="0.15">
      <c r="A44" t="str">
        <f>HYPERLINK("./new_k5/query_cmdrels_weight_analyze/0.1_0.5_0.4/au_163155.xlsx","au_163155")</f>
        <v>au_163155</v>
      </c>
      <c r="B44">
        <v>0.125</v>
      </c>
      <c r="C44">
        <v>0.125</v>
      </c>
      <c r="D44">
        <v>0.375</v>
      </c>
      <c r="E44">
        <v>0.20833333333333329</v>
      </c>
      <c r="F44">
        <v>0.5</v>
      </c>
      <c r="G44">
        <v>0.40208333333333329</v>
      </c>
    </row>
    <row r="45" spans="1:7" x14ac:dyDescent="0.15">
      <c r="A45" t="str">
        <f>HYPERLINK("./new_k5/query_cmdrels_weight_analyze/0.1_0.5_0.4/au_164473.xlsx","au_164473")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HYPERLINK("./new_k5/query_cmdrels_weight_analyze/0.1_0.5_0.4/au_16584.xlsx","au_16584")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0.15151515151515149</v>
      </c>
      <c r="F46">
        <v>0.13636363636363641</v>
      </c>
      <c r="G46">
        <v>0.2196969696969697</v>
      </c>
    </row>
    <row r="47" spans="1:7" x14ac:dyDescent="0.15">
      <c r="A47" t="str">
        <f>HYPERLINK("./new_k5/query_cmdrels_weight_analyze/0.1_0.5_0.4/au_166420.xlsx","au_166420")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HYPERLINK("./new_k5/query_cmdrels_weight_analyze/0.1_0.5_0.4/au_169473.xlsx","au_169473")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0.33333333333333331</v>
      </c>
      <c r="F48">
        <v>0.43333333333333329</v>
      </c>
      <c r="G48">
        <v>0.33333333333333331</v>
      </c>
    </row>
    <row r="49" spans="1:7" x14ac:dyDescent="0.15">
      <c r="A49" t="str">
        <f>HYPERLINK("./new_k5/query_cmdrels_weight_analyze/0.1_0.5_0.4/au_169516.xlsx","au_169516")</f>
        <v>au_169516</v>
      </c>
      <c r="B49">
        <v>0.25</v>
      </c>
      <c r="C49">
        <v>0.25</v>
      </c>
      <c r="D49">
        <v>0.25</v>
      </c>
      <c r="E49">
        <v>0.5</v>
      </c>
      <c r="F49">
        <v>0.25</v>
      </c>
      <c r="G49">
        <v>0.5</v>
      </c>
    </row>
    <row r="50" spans="1:7" x14ac:dyDescent="0.15">
      <c r="A50" t="str">
        <f>HYPERLINK("./new_k5/query_cmdrels_weight_analyze/0.1_0.5_0.4/au_174292.xlsx","au_174292")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HYPERLINK("./new_k5/query_cmdrels_weight_analyze/0.1_0.5_0.4/au_178481.xlsx","au_178481")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HYPERLINK("./new_k5/query_cmdrels_weight_analyze/0.1_0.5_0.4/au_180925.xlsx","au_180925")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HYPERLINK("./new_k5/query_cmdrels_weight_analyze/0.1_0.5_0.4/au_187888.xlsx","au_187888")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HYPERLINK("./new_k5/query_cmdrels_weight_analyze/0.1_0.5_0.4/au_191390.xlsx","au_191390")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HYPERLINK("./new_k5/query_cmdrels_weight_analyze/0.1_0.5_0.4/au_192798.xlsx","au_192798")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HYPERLINK("./new_k5/query_cmdrels_weight_analyze/0.1_0.5_0.4/au_201775.xlsx","au_201775")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0.33333333333333331</v>
      </c>
      <c r="F56">
        <v>0.66666666666666663</v>
      </c>
      <c r="G56">
        <v>0.70000000000000007</v>
      </c>
    </row>
    <row r="57" spans="1:7" x14ac:dyDescent="0.15">
      <c r="A57" t="str">
        <f>HYPERLINK("./new_k5/query_cmdrels_weight_analyze/0.1_0.5_0.4/au_204166.xlsx","au_204166")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HYPERLINK("./new_k5/query_cmdrels_weight_analyze/0.1_0.5_0.4/au_207447.xlsx","au_207447")</f>
        <v>au_207447</v>
      </c>
      <c r="B58">
        <v>0.33333333333333331</v>
      </c>
      <c r="C58">
        <v>0</v>
      </c>
      <c r="D58">
        <v>0.33333333333333331</v>
      </c>
      <c r="E58">
        <v>0.16666666666666671</v>
      </c>
      <c r="F58">
        <v>0.33333333333333331</v>
      </c>
      <c r="G58">
        <v>0.16666666666666671</v>
      </c>
    </row>
    <row r="59" spans="1:7" x14ac:dyDescent="0.15">
      <c r="A59" t="str">
        <f>HYPERLINK("./new_k5/query_cmdrels_weight_analyze/0.1_0.5_0.4/au_210680.xlsx","au_210680")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HYPERLINK("./new_k5/query_cmdrels_weight_analyze/0.1_0.5_0.4/au_214246.xlsx","au_214246")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0.4</v>
      </c>
    </row>
    <row r="61" spans="1:7" x14ac:dyDescent="0.15">
      <c r="A61" t="str">
        <f>HYPERLINK("./new_k5/query_cmdrels_weight_analyze/0.1_0.5_0.4/au_214643.xlsx","au_214643")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HYPERLINK("./new_k5/query_cmdrels_weight_analyze/0.1_0.5_0.4/au_2194.xlsx","au_2194")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HYPERLINK("./new_k5/query_cmdrels_weight_analyze/0.1_0.5_0.4/au_221962.xlsx","au_221962")</f>
        <v>au_221962</v>
      </c>
      <c r="B63">
        <v>0</v>
      </c>
      <c r="C63">
        <v>0</v>
      </c>
      <c r="D63">
        <v>5.5555555555555552E-2</v>
      </c>
      <c r="E63">
        <v>8.3333333333333329E-2</v>
      </c>
      <c r="F63">
        <v>0.1388888888888889</v>
      </c>
      <c r="G63">
        <v>0.26666666666666672</v>
      </c>
    </row>
    <row r="64" spans="1:7" x14ac:dyDescent="0.15">
      <c r="A64" t="str">
        <f>HYPERLINK("./new_k5/query_cmdrels_weight_analyze/0.1_0.5_0.4/au_22608.xlsx","au_22608")</f>
        <v>au_22608</v>
      </c>
      <c r="B64">
        <v>0.33333333333333331</v>
      </c>
      <c r="C64">
        <v>0.33333333333333331</v>
      </c>
      <c r="D64">
        <v>0.33333333333333331</v>
      </c>
      <c r="E64">
        <v>0.33333333333333331</v>
      </c>
      <c r="F64">
        <v>0.33333333333333331</v>
      </c>
      <c r="G64">
        <v>0.5</v>
      </c>
    </row>
    <row r="65" spans="1:7" x14ac:dyDescent="0.15">
      <c r="A65" t="str">
        <f>HYPERLINK("./new_k5/query_cmdrels_weight_analyze/0.1_0.5_0.4/au_230698.xlsx","au_230698")</f>
        <v>au_230698</v>
      </c>
      <c r="B65">
        <v>0.125</v>
      </c>
      <c r="C65">
        <v>0.125</v>
      </c>
      <c r="D65">
        <v>0.25</v>
      </c>
      <c r="E65">
        <v>0.25</v>
      </c>
      <c r="F65">
        <v>0.32500000000000001</v>
      </c>
      <c r="G65">
        <v>0.34375</v>
      </c>
    </row>
    <row r="66" spans="1:7" x14ac:dyDescent="0.15">
      <c r="A66" t="str">
        <f>HYPERLINK("./new_k5/query_cmdrels_weight_analyze/0.1_0.5_0.4/au_232442.xlsx","au_232442")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HYPERLINK("./new_k5/query_cmdrels_weight_analyze/0.1_0.5_0.4/au_233378.xlsx","au_233378")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HYPERLINK("./new_k5/query_cmdrels_weight_analyze/0.1_0.5_0.4/au_24027.xlsx","au_24027")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HYPERLINK("./new_k5/query_cmdrels_weight_analyze/0.1_0.5_0.4/au_246647.xlsx","au_246647")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HYPERLINK("./new_k5/query_cmdrels_weight_analyze/0.1_0.5_0.4/au_254424.xlsx","au_254424")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HYPERLINK("./new_k5/query_cmdrels_weight_analyze/0.1_0.5_0.4/au_255890.xlsx","au_255890")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HYPERLINK("./new_k5/query_cmdrels_weight_analyze/0.1_0.5_0.4/au_257248.xlsx","au_257248")</f>
        <v>au_257248</v>
      </c>
      <c r="B72">
        <v>0</v>
      </c>
      <c r="C72">
        <v>0.14285714285714279</v>
      </c>
      <c r="D72">
        <v>0.16666666666666671</v>
      </c>
      <c r="E72">
        <v>0.14285714285714279</v>
      </c>
      <c r="F72">
        <v>0.25238095238095237</v>
      </c>
      <c r="G72">
        <v>0.2142857142857143</v>
      </c>
    </row>
    <row r="73" spans="1:7" x14ac:dyDescent="0.15">
      <c r="A73" t="str">
        <f>HYPERLINK("./new_k5/query_cmdrels_weight_analyze/0.1_0.5_0.4/au_259354.xlsx","au_259354")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0.42857142857142849</v>
      </c>
    </row>
    <row r="74" spans="1:7" x14ac:dyDescent="0.15">
      <c r="A74" t="str">
        <f>HYPERLINK("./new_k5/query_cmdrels_weight_analyze/0.1_0.5_0.4/au_263378.xlsx","au_263378")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0.5</v>
      </c>
    </row>
    <row r="75" spans="1:7" x14ac:dyDescent="0.15">
      <c r="A75" t="str">
        <f>HYPERLINK("./new_k5/query_cmdrels_weight_analyze/0.1_0.5_0.4/au_264215.xlsx","au_264215")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HYPERLINK("./new_k5/query_cmdrels_weight_analyze/0.1_0.5_0.4/au_265176.xlsx","au_265176")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HYPERLINK("./new_k5/query_cmdrels_weight_analyze/0.1_0.5_0.4/au_275704.xlsx","au_275704")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HYPERLINK("./new_k5/query_cmdrels_weight_analyze/0.1_0.5_0.4/au_276669.xlsx","au_276669")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HYPERLINK("./new_k5/query_cmdrels_weight_analyze/0.1_0.5_0.4/au_277565.xlsx","au_277565")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HYPERLINK("./new_k5/query_cmdrels_weight_analyze/0.1_0.5_0.4/au_278403.xlsx","au_278403")</f>
        <v>au_278403</v>
      </c>
      <c r="B80">
        <v>0</v>
      </c>
      <c r="C80">
        <v>0</v>
      </c>
      <c r="D80">
        <v>8.3333333333333329E-2</v>
      </c>
      <c r="E80">
        <v>8.3333333333333329E-2</v>
      </c>
      <c r="F80">
        <v>0.20833333333333329</v>
      </c>
      <c r="G80">
        <v>0.18333333333333329</v>
      </c>
    </row>
    <row r="81" spans="1:7" x14ac:dyDescent="0.15">
      <c r="A81" t="str">
        <f>HYPERLINK("./new_k5/query_cmdrels_weight_analyze/0.1_0.5_0.4/au_28039.xlsx","au_28039")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15">
      <c r="A82" t="str">
        <f>HYPERLINK("./new_k5/query_cmdrels_weight_analyze/0.1_0.5_0.4/au_281509.xlsx","au_281509")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0.66666666666666663</v>
      </c>
      <c r="F82">
        <v>0.55555555555555547</v>
      </c>
      <c r="G82">
        <v>0.66666666666666663</v>
      </c>
    </row>
    <row r="83" spans="1:7" x14ac:dyDescent="0.15">
      <c r="A83" t="str">
        <f>HYPERLINK("./new_k5/query_cmdrels_weight_analyze/0.1_0.5_0.4/au_282806.xlsx","au_282806")</f>
        <v>au_282806</v>
      </c>
      <c r="B83">
        <v>0</v>
      </c>
      <c r="C83">
        <v>0.33333333333333331</v>
      </c>
      <c r="D83">
        <v>0.38888888888888878</v>
      </c>
      <c r="E83">
        <v>0.55555555555555547</v>
      </c>
      <c r="F83">
        <v>0.38888888888888878</v>
      </c>
      <c r="G83">
        <v>0.80555555555555547</v>
      </c>
    </row>
    <row r="84" spans="1:7" x14ac:dyDescent="0.15">
      <c r="A84" t="str">
        <f>HYPERLINK("./new_k5/query_cmdrels_weight_analyze/0.1_0.5_0.4/au_283559.xlsx","au_283559")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HYPERLINK("./new_k5/query_cmdrels_weight_analyze/0.1_0.5_0.4/au_285539.xlsx","au_285539")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HYPERLINK("./new_k5/query_cmdrels_weight_analyze/0.1_0.5_0.4/au_287532.xlsx","au_287532")</f>
        <v>au_287532</v>
      </c>
      <c r="B86">
        <v>0</v>
      </c>
      <c r="C86">
        <v>0.25</v>
      </c>
      <c r="D86">
        <v>0</v>
      </c>
      <c r="E86">
        <v>0.25</v>
      </c>
      <c r="F86">
        <v>0</v>
      </c>
      <c r="G86">
        <v>0.35</v>
      </c>
    </row>
    <row r="87" spans="1:7" x14ac:dyDescent="0.15">
      <c r="A87" t="str">
        <f>HYPERLINK("./new_k5/query_cmdrels_weight_analyze/0.1_0.5_0.4/au_294257.xlsx","au_294257")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0.42857142857142849</v>
      </c>
      <c r="F87">
        <v>0.7142857142857143</v>
      </c>
      <c r="G87">
        <v>0.5714285714285714</v>
      </c>
    </row>
    <row r="88" spans="1:7" x14ac:dyDescent="0.15">
      <c r="A88" t="str">
        <f>HYPERLINK("./new_k5/query_cmdrels_weight_analyze/0.1_0.5_0.4/au_296155.xlsx","au_296155")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HYPERLINK("./new_k5/query_cmdrels_weight_analyze/0.1_0.5_0.4/au_299975.xlsx","au_299975")</f>
        <v>au_299975</v>
      </c>
      <c r="B89">
        <v>0.25</v>
      </c>
      <c r="C89">
        <v>0</v>
      </c>
      <c r="D89">
        <v>0.5</v>
      </c>
      <c r="E89">
        <v>0.125</v>
      </c>
      <c r="F89">
        <v>0.6875</v>
      </c>
      <c r="G89">
        <v>0.125</v>
      </c>
    </row>
    <row r="90" spans="1:7" x14ac:dyDescent="0.15">
      <c r="A90" t="str">
        <f>HYPERLINK("./new_k5/query_cmdrels_weight_analyze/0.1_0.5_0.4/au_301096.xlsx","au_301096")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HYPERLINK("./new_k5/query_cmdrels_weight_analyze/0.1_0.5_0.4/au_303593.xlsx","au_303593")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HYPERLINK("./new_k5/query_cmdrels_weight_analyze/0.1_0.5_0.4/au_303849.xlsx","au_303849")</f>
        <v>au_303849</v>
      </c>
      <c r="B92">
        <v>0.1111111111111111</v>
      </c>
      <c r="C92">
        <v>0</v>
      </c>
      <c r="D92">
        <v>0.1111111111111111</v>
      </c>
      <c r="E92">
        <v>3.7037037037037028E-2</v>
      </c>
      <c r="F92">
        <v>0.1111111111111111</v>
      </c>
      <c r="G92">
        <v>9.2592592592592587E-2</v>
      </c>
    </row>
    <row r="93" spans="1:7" x14ac:dyDescent="0.15">
      <c r="A93" t="str">
        <f>HYPERLINK("./new_k5/query_cmdrels_weight_analyze/0.1_0.5_0.4/au_307541.xlsx","au_307541")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HYPERLINK("./new_k5/query_cmdrels_weight_analyze/0.1_0.5_0.4/au_307688.xlsx","au_307688")</f>
        <v>au_307688</v>
      </c>
      <c r="B94">
        <v>0.2</v>
      </c>
      <c r="C94">
        <v>0.2</v>
      </c>
      <c r="D94">
        <v>0.33333333333333331</v>
      </c>
      <c r="E94">
        <v>0.4</v>
      </c>
      <c r="F94">
        <v>0.33333333333333331</v>
      </c>
      <c r="G94">
        <v>0.4</v>
      </c>
    </row>
    <row r="95" spans="1:7" x14ac:dyDescent="0.15">
      <c r="A95" t="str">
        <f>HYPERLINK("./new_k5/query_cmdrels_weight_analyze/0.1_0.5_0.4/au_309047.xlsx","au_309047")</f>
        <v>au_309047</v>
      </c>
      <c r="B95">
        <v>0.25</v>
      </c>
      <c r="C95">
        <v>0.25</v>
      </c>
      <c r="D95">
        <v>0.25</v>
      </c>
      <c r="E95">
        <v>0.41666666666666657</v>
      </c>
      <c r="F95">
        <v>0.25</v>
      </c>
      <c r="G95">
        <v>0.41666666666666657</v>
      </c>
    </row>
    <row r="96" spans="1:7" x14ac:dyDescent="0.15">
      <c r="A96" t="str">
        <f>HYPERLINK("./new_k5/query_cmdrels_weight_analyze/0.1_0.5_0.4/au_311558.xlsx","au_311558")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0.41666666666666657</v>
      </c>
    </row>
    <row r="97" spans="1:7" x14ac:dyDescent="0.15">
      <c r="A97" t="str">
        <f>HYPERLINK("./new_k5/query_cmdrels_weight_analyze/0.1_0.5_0.4/au_318973.xlsx","au_318973")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HYPERLINK("./new_k5/query_cmdrels_weight_analyze/0.1_0.5_0.4/au_3205.xlsx","au_3205")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HYPERLINK("./new_k5/query_cmdrels_weight_analyze/0.1_0.5_0.4/au_323131.xlsx","au_323131")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HYPERLINK("./new_k5/query_cmdrels_weight_analyze/0.1_0.5_0.4/au_323392.xlsx","au_323392")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0.5</v>
      </c>
    </row>
    <row r="101" spans="1:7" x14ac:dyDescent="0.15">
      <c r="A101" t="str">
        <f>HYPERLINK("./new_k5/query_cmdrels_weight_analyze/0.1_0.5_0.4/au_325368.xlsx","au_325368")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HYPERLINK("./new_k5/query_cmdrels_weight_analyze/0.1_0.5_0.4/au_328162.xlsx","au_328162")</f>
        <v>au_328162</v>
      </c>
      <c r="B102">
        <v>0.33333333333333331</v>
      </c>
      <c r="C102">
        <v>0.33333333333333331</v>
      </c>
      <c r="D102">
        <v>1</v>
      </c>
      <c r="E102">
        <v>0.33333333333333331</v>
      </c>
      <c r="F102">
        <v>1</v>
      </c>
      <c r="G102">
        <v>0.5</v>
      </c>
    </row>
    <row r="103" spans="1:7" x14ac:dyDescent="0.15">
      <c r="A103" t="str">
        <f>HYPERLINK("./new_k5/query_cmdrels_weight_analyze/0.1_0.5_0.4/au_330148.xlsx","au_330148")</f>
        <v>au_330148</v>
      </c>
      <c r="B103">
        <v>0</v>
      </c>
      <c r="C103">
        <v>0.2</v>
      </c>
      <c r="D103">
        <v>0.23333333333333331</v>
      </c>
      <c r="E103">
        <v>0.33333333333333331</v>
      </c>
      <c r="F103">
        <v>0.54333333333333333</v>
      </c>
      <c r="G103">
        <v>0.33333333333333331</v>
      </c>
    </row>
    <row r="104" spans="1:7" x14ac:dyDescent="0.15">
      <c r="A104" t="str">
        <f>HYPERLINK("./new_k5/query_cmdrels_weight_analyze/0.1_0.5_0.4/au_332315.xlsx","au_332315")</f>
        <v>au_332315</v>
      </c>
      <c r="B104">
        <v>0.33333333333333331</v>
      </c>
      <c r="C104">
        <v>0.33333333333333331</v>
      </c>
      <c r="D104">
        <v>0.55555555555555547</v>
      </c>
      <c r="E104">
        <v>0.33333333333333331</v>
      </c>
      <c r="F104">
        <v>0.75555555555555554</v>
      </c>
      <c r="G104">
        <v>0.33333333333333331</v>
      </c>
    </row>
    <row r="105" spans="1:7" x14ac:dyDescent="0.15">
      <c r="A105" t="str">
        <f>HYPERLINK("./new_k5/query_cmdrels_weight_analyze/0.1_0.5_0.4/au_334081.xlsx","au_334081")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HYPERLINK("./new_k5/query_cmdrels_weight_analyze/0.1_0.5_0.4/au_34077.xlsx","au_34077")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0.5</v>
      </c>
      <c r="F106">
        <v>0.33333333333333331</v>
      </c>
      <c r="G106">
        <v>0.6333333333333333</v>
      </c>
    </row>
    <row r="107" spans="1:7" x14ac:dyDescent="0.15">
      <c r="A107" t="str">
        <f>HYPERLINK("./new_k5/query_cmdrels_weight_analyze/0.1_0.5_0.4/au_341428.xlsx","au_341428")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HYPERLINK("./new_k5/query_cmdrels_weight_analyze/0.1_0.5_0.4/au_341584.xlsx","au_341584")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HYPERLINK("./new_k5/query_cmdrels_weight_analyze/0.1_0.5_0.4/au_346864.xlsx","au_346864")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0.14285714285714279</v>
      </c>
      <c r="F109">
        <v>0.23809523809523811</v>
      </c>
      <c r="G109">
        <v>0.2</v>
      </c>
    </row>
    <row r="110" spans="1:7" x14ac:dyDescent="0.15">
      <c r="A110" t="str">
        <f>HYPERLINK("./new_k5/query_cmdrels_weight_analyze/0.1_0.5_0.4/au_351765.xlsx","au_351765")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0.5</v>
      </c>
    </row>
    <row r="111" spans="1:7" x14ac:dyDescent="0.15">
      <c r="A111" t="str">
        <f>HYPERLINK("./new_k5/query_cmdrels_weight_analyze/0.1_0.5_0.4/au_35922.xlsx","au_35922")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HYPERLINK("./new_k5/query_cmdrels_weight_analyze/0.1_0.5_0.4/au_359856.xlsx","au_359856")</f>
        <v>au_359856</v>
      </c>
      <c r="B112">
        <v>0.25</v>
      </c>
      <c r="C112">
        <v>0.25</v>
      </c>
      <c r="D112">
        <v>0.75</v>
      </c>
      <c r="E112">
        <v>0.25</v>
      </c>
      <c r="F112">
        <v>0.95</v>
      </c>
      <c r="G112">
        <v>0.375</v>
      </c>
    </row>
    <row r="113" spans="1:7" x14ac:dyDescent="0.15">
      <c r="A113" t="str">
        <f>HYPERLINK("./new_k5/query_cmdrels_weight_analyze/0.1_0.5_0.4/au_360423.xlsx","au_360423")</f>
        <v>au_360423</v>
      </c>
      <c r="B113">
        <v>0</v>
      </c>
      <c r="C113">
        <v>0</v>
      </c>
      <c r="D113">
        <v>0</v>
      </c>
      <c r="E113">
        <v>0.16666666666666671</v>
      </c>
      <c r="F113">
        <v>0</v>
      </c>
      <c r="G113">
        <v>0.16666666666666671</v>
      </c>
    </row>
    <row r="114" spans="1:7" x14ac:dyDescent="0.15">
      <c r="A114" t="str">
        <f>HYPERLINK("./new_k5/query_cmdrels_weight_analyze/0.1_0.5_0.4/au_36287.xlsx","au_36287")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HYPERLINK("./new_k5/query_cmdrels_weight_analyze/0.1_0.5_0.4/au_366742.xlsx","au_366742")</f>
        <v>au_366742</v>
      </c>
      <c r="B115">
        <v>0</v>
      </c>
      <c r="C115">
        <v>0</v>
      </c>
      <c r="D115">
        <v>0</v>
      </c>
      <c r="E115">
        <v>0.125</v>
      </c>
      <c r="F115">
        <v>0</v>
      </c>
      <c r="G115">
        <v>0.125</v>
      </c>
    </row>
    <row r="116" spans="1:7" x14ac:dyDescent="0.15">
      <c r="A116" t="str">
        <f>HYPERLINK("./new_k5/query_cmdrels_weight_analyze/0.1_0.5_0.4/au_377937.xlsx","au_377937")</f>
        <v>au_377937</v>
      </c>
      <c r="B116">
        <v>0.25</v>
      </c>
      <c r="C116">
        <v>0.25</v>
      </c>
      <c r="D116">
        <v>0.5</v>
      </c>
      <c r="E116">
        <v>0.41666666666666657</v>
      </c>
      <c r="F116">
        <v>0.5</v>
      </c>
      <c r="G116">
        <v>0.41666666666666657</v>
      </c>
    </row>
    <row r="117" spans="1:7" x14ac:dyDescent="0.15">
      <c r="A117" t="str">
        <f>HYPERLINK("./new_k5/query_cmdrels_weight_analyze/0.1_0.5_0.4/au_383997.xlsx","au_383997")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0.39285714285714279</v>
      </c>
    </row>
    <row r="118" spans="1:7" x14ac:dyDescent="0.15">
      <c r="A118" t="str">
        <f>HYPERLINK("./new_k5/query_cmdrels_weight_analyze/0.1_0.5_0.4/au_3883.xlsx","au_3883")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0.375</v>
      </c>
    </row>
    <row r="119" spans="1:7" x14ac:dyDescent="0.15">
      <c r="A119" t="str">
        <f>HYPERLINK("./new_k5/query_cmdrels_weight_analyze/0.1_0.5_0.4/au_396883.xlsx","au_396883")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HYPERLINK("./new_k5/query_cmdrels_weight_analyze/0.1_0.5_0.4/au_39760.xlsx","au_39760")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HYPERLINK("./new_k5/query_cmdrels_weight_analyze/0.1_0.5_0.4/au_398818.xlsx","au_398818")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HYPERLINK("./new_k5/query_cmdrels_weight_analyze/0.1_0.5_0.4/au_400807.xlsx","au_400807")</f>
        <v>au_400807</v>
      </c>
      <c r="B122">
        <v>0</v>
      </c>
      <c r="C122">
        <v>0.33333333333333331</v>
      </c>
      <c r="D122">
        <v>0.16666666666666671</v>
      </c>
      <c r="E122">
        <v>0.33333333333333331</v>
      </c>
      <c r="F122">
        <v>0.16666666666666671</v>
      </c>
      <c r="G122">
        <v>0.33333333333333331</v>
      </c>
    </row>
    <row r="123" spans="1:7" x14ac:dyDescent="0.15">
      <c r="A123" t="str">
        <f>HYPERLINK("./new_k5/query_cmdrels_weight_analyze/0.1_0.5_0.4/au_408611.xlsx","au_408611")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HYPERLINK("./new_k5/query_cmdrels_weight_analyze/0.1_0.5_0.4/au_414737.xlsx","au_414737")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HYPERLINK("./new_k5/query_cmdrels_weight_analyze/0.1_0.5_0.4/au_420722.xlsx","au_420722")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HYPERLINK("./new_k5/query_cmdrels_weight_analyze/0.1_0.5_0.4/au_423942.xlsx","au_423942")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HYPERLINK("./new_k5/query_cmdrels_weight_analyze/0.1_0.5_0.4/au_430382.xlsx","au_430382")</f>
        <v>au_430382</v>
      </c>
      <c r="B127">
        <v>0</v>
      </c>
      <c r="C127">
        <v>0</v>
      </c>
      <c r="D127">
        <v>0.29166666666666657</v>
      </c>
      <c r="E127">
        <v>0.29166666666666657</v>
      </c>
      <c r="F127">
        <v>0.29166666666666657</v>
      </c>
      <c r="G127">
        <v>0.29166666666666657</v>
      </c>
    </row>
    <row r="128" spans="1:7" x14ac:dyDescent="0.15">
      <c r="A128" t="str">
        <f>HYPERLINK("./new_k5/query_cmdrels_weight_analyze/0.1_0.5_0.4/au_432836.xlsx","au_432836")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0.14285714285714279</v>
      </c>
      <c r="F128">
        <v>0.2142857142857143</v>
      </c>
      <c r="G128">
        <v>0.14285714285714279</v>
      </c>
    </row>
    <row r="129" spans="1:7" x14ac:dyDescent="0.15">
      <c r="A129" t="str">
        <f>HYPERLINK("./new_k5/query_cmdrels_weight_analyze/0.1_0.5_0.4/au_440326.xlsx","au_440326")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HYPERLINK("./new_k5/query_cmdrels_weight_analyze/0.1_0.5_0.4/au_442914.xlsx","au_442914")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HYPERLINK("./new_k5/query_cmdrels_weight_analyze/0.1_0.5_0.4/au_443227.xlsx","au_443227")</f>
        <v>au_443227</v>
      </c>
      <c r="B131">
        <v>0.5</v>
      </c>
      <c r="C131">
        <v>0</v>
      </c>
      <c r="D131">
        <v>0.5</v>
      </c>
      <c r="E131">
        <v>0</v>
      </c>
      <c r="F131">
        <v>0.5</v>
      </c>
      <c r="G131">
        <v>0.125</v>
      </c>
    </row>
    <row r="132" spans="1:7" x14ac:dyDescent="0.15">
      <c r="A132" t="str">
        <f>HYPERLINK("./new_k5/query_cmdrels_weight_analyze/0.1_0.5_0.4/au_44534.xlsx","au_44534")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0.41666666666666657</v>
      </c>
    </row>
    <row r="133" spans="1:7" x14ac:dyDescent="0.15">
      <c r="A133" t="str">
        <f>HYPERLINK("./new_k5/query_cmdrels_weight_analyze/0.1_0.5_0.4/au_451805.xlsx","au_451805")</f>
        <v>au_451805</v>
      </c>
      <c r="B133">
        <v>0.33333333333333331</v>
      </c>
      <c r="C133">
        <v>0.33333333333333331</v>
      </c>
      <c r="D133">
        <v>0.33333333333333331</v>
      </c>
      <c r="E133">
        <v>0.33333333333333331</v>
      </c>
      <c r="F133">
        <v>0.33333333333333331</v>
      </c>
      <c r="G133">
        <v>0.33333333333333331</v>
      </c>
    </row>
    <row r="134" spans="1:7" x14ac:dyDescent="0.15">
      <c r="A134" t="str">
        <f>HYPERLINK("./new_k5/query_cmdrels_weight_analyze/0.1_0.5_0.4/au_464264.xlsx","au_464264")</f>
        <v>au_464264</v>
      </c>
      <c r="B134">
        <v>0.2</v>
      </c>
      <c r="C134">
        <v>0</v>
      </c>
      <c r="D134">
        <v>0.33333333333333331</v>
      </c>
      <c r="E134">
        <v>0</v>
      </c>
      <c r="F134">
        <v>0.48333333333333328</v>
      </c>
      <c r="G134">
        <v>0.13</v>
      </c>
    </row>
    <row r="135" spans="1:7" x14ac:dyDescent="0.15">
      <c r="A135" t="str">
        <f>HYPERLINK("./new_k5/query_cmdrels_weight_analyze/0.1_0.5_0.4/au_468808.xlsx","au_468808")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HYPERLINK("./new_k5/query_cmdrels_weight_analyze/0.1_0.5_0.4/au_469143.xlsx","au_469143")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0.48333333333333328</v>
      </c>
    </row>
    <row r="137" spans="1:7" x14ac:dyDescent="0.15">
      <c r="A137" t="str">
        <f>HYPERLINK("./new_k5/query_cmdrels_weight_analyze/0.1_0.5_0.4/au_470237.xlsx","au_470237")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HYPERLINK("./new_k5/query_cmdrels_weight_analyze/0.1_0.5_0.4/au_473037.xlsx","au_473037")</f>
        <v>au_473037</v>
      </c>
      <c r="B138">
        <v>0.5</v>
      </c>
      <c r="C138">
        <v>0.5</v>
      </c>
      <c r="D138">
        <v>0.83333333333333326</v>
      </c>
      <c r="E138">
        <v>0.5</v>
      </c>
      <c r="F138">
        <v>0.83333333333333326</v>
      </c>
      <c r="G138">
        <v>0.5</v>
      </c>
    </row>
    <row r="139" spans="1:7" x14ac:dyDescent="0.15">
      <c r="A139" t="str">
        <f>HYPERLINK("./new_k5/query_cmdrels_weight_analyze/0.1_0.5_0.4/au_48362.xlsx","au_48362")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HYPERLINK("./new_k5/query_cmdrels_weight_analyze/0.1_0.5_0.4/au_488435.xlsx","au_488435")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HYPERLINK("./new_k5/query_cmdrels_weight_analyze/0.1_0.5_0.4/au_493826.xlsx","au_493826")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HYPERLINK("./new_k5/query_cmdrels_weight_analyze/0.1_0.5_0.4/au_502110.xlsx","au_502110")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HYPERLINK("./new_k5/query_cmdrels_weight_analyze/0.1_0.5_0.4/au_50344.xlsx","au_50344")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HYPERLINK("./new_k5/query_cmdrels_weight_analyze/0.1_0.5_0.4/au_511467.xlsx","au_511467")</f>
        <v>au_511467</v>
      </c>
      <c r="B144">
        <v>0</v>
      </c>
      <c r="C144">
        <v>0.16666666666666671</v>
      </c>
      <c r="D144">
        <v>0.19444444444444439</v>
      </c>
      <c r="E144">
        <v>0.16666666666666671</v>
      </c>
      <c r="F144">
        <v>0.19444444444444439</v>
      </c>
      <c r="G144">
        <v>0.16666666666666671</v>
      </c>
    </row>
    <row r="145" spans="1:7" x14ac:dyDescent="0.15">
      <c r="A145" t="str">
        <f>HYPERLINK("./new_k5/query_cmdrels_weight_analyze/0.1_0.5_0.4/au_513046.xlsx","au_513046")</f>
        <v>au_513046</v>
      </c>
      <c r="B145">
        <v>0.25</v>
      </c>
      <c r="C145">
        <v>0</v>
      </c>
      <c r="D145">
        <v>0.5</v>
      </c>
      <c r="E145">
        <v>8.3333333333333329E-2</v>
      </c>
      <c r="F145">
        <v>0.5</v>
      </c>
      <c r="G145">
        <v>0.35833333333333328</v>
      </c>
    </row>
    <row r="146" spans="1:7" x14ac:dyDescent="0.15">
      <c r="A146" t="str">
        <f>HYPERLINK("./new_k5/query_cmdrels_weight_analyze/0.1_0.5_0.4/au_517354.xlsx","au_517354")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0.34523809523809518</v>
      </c>
    </row>
    <row r="147" spans="1:7" x14ac:dyDescent="0.15">
      <c r="A147" t="str">
        <f>HYPERLINK("./new_k5/query_cmdrels_weight_analyze/0.1_0.5_0.4/au_522431.xlsx","au_522431")</f>
        <v>au_522431</v>
      </c>
      <c r="B147">
        <v>0</v>
      </c>
      <c r="C147">
        <v>0.2</v>
      </c>
      <c r="D147">
        <v>0.23333333333333331</v>
      </c>
      <c r="E147">
        <v>0.33333333333333331</v>
      </c>
      <c r="F147">
        <v>0.54333333333333333</v>
      </c>
      <c r="G147">
        <v>0.48333333333333328</v>
      </c>
    </row>
    <row r="148" spans="1:7" x14ac:dyDescent="0.15">
      <c r="A148" t="str">
        <f>HYPERLINK("./new_k5/query_cmdrels_weight_analyze/0.1_0.5_0.4/au_52773.xlsx","au_52773")</f>
        <v>au_52773</v>
      </c>
      <c r="B148">
        <v>0</v>
      </c>
      <c r="C148">
        <v>0.2</v>
      </c>
      <c r="D148">
        <v>0.23333333333333331</v>
      </c>
      <c r="E148">
        <v>0.2</v>
      </c>
      <c r="F148">
        <v>0.23333333333333331</v>
      </c>
      <c r="G148">
        <v>0.28000000000000003</v>
      </c>
    </row>
    <row r="149" spans="1:7" x14ac:dyDescent="0.15">
      <c r="A149" t="str">
        <f>HYPERLINK("./new_k5/query_cmdrels_weight_analyze/0.1_0.5_0.4/au_528411.xlsx","au_528411")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HYPERLINK("./new_k5/query_cmdrels_weight_analyze/0.1_0.5_0.4/au_53263.xlsx","au_53263")</f>
        <v>au_53263</v>
      </c>
      <c r="B150">
        <v>0.25</v>
      </c>
      <c r="C150">
        <v>0.25</v>
      </c>
      <c r="D150">
        <v>0.75</v>
      </c>
      <c r="E150">
        <v>0.41666666666666657</v>
      </c>
      <c r="F150">
        <v>0.75</v>
      </c>
      <c r="G150">
        <v>0.41666666666666657</v>
      </c>
    </row>
    <row r="151" spans="1:7" x14ac:dyDescent="0.15">
      <c r="A151" t="str">
        <f>HYPERLINK("./new_k5/query_cmdrels_weight_analyze/0.1_0.5_0.4/au_53444.xlsx","au_53444")</f>
        <v>au_53444</v>
      </c>
      <c r="B151">
        <v>0.5</v>
      </c>
      <c r="C151">
        <v>0</v>
      </c>
      <c r="D151">
        <v>0.5</v>
      </c>
      <c r="E151">
        <v>0</v>
      </c>
      <c r="F151">
        <v>0.5</v>
      </c>
      <c r="G151">
        <v>0.1</v>
      </c>
    </row>
    <row r="152" spans="1:7" x14ac:dyDescent="0.15">
      <c r="A152" t="str">
        <f>HYPERLINK("./new_k5/query_cmdrels_weight_analyze/0.1_0.5_0.4/au_538208.xlsx","au_538208")</f>
        <v>au_538208</v>
      </c>
      <c r="B152">
        <v>0.125</v>
      </c>
      <c r="C152">
        <v>0.125</v>
      </c>
      <c r="D152">
        <v>0.375</v>
      </c>
      <c r="E152">
        <v>0.375</v>
      </c>
      <c r="F152">
        <v>0.5</v>
      </c>
      <c r="G152">
        <v>0.625</v>
      </c>
    </row>
    <row r="153" spans="1:7" x14ac:dyDescent="0.15">
      <c r="A153" t="str">
        <f>HYPERLINK("./new_k5/query_cmdrels_weight_analyze/0.1_0.5_0.4/au_53822.xlsx","au_53822")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HYPERLINK("./new_k5/query_cmdrels_weight_analyze/0.1_0.5_0.4/au_539243.xlsx","au_539243")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</v>
      </c>
    </row>
    <row r="155" spans="1:7" x14ac:dyDescent="0.15">
      <c r="A155" t="str">
        <f>HYPERLINK("./new_k5/query_cmdrels_weight_analyze/0.1_0.5_0.4/au_558280.xlsx","au_558280")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HYPERLINK("./new_k5/query_cmdrels_weight_analyze/0.1_0.5_0.4/au_558669.xlsx","au_558669")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HYPERLINK("./new_k5/query_cmdrels_weight_analyze/0.1_0.5_0.4/au_55868.xlsx","au_55868")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HYPERLINK("./new_k5/query_cmdrels_weight_analyze/0.1_0.5_0.4/au_561.xlsx","au_561")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0.5</v>
      </c>
    </row>
    <row r="159" spans="1:7" x14ac:dyDescent="0.15">
      <c r="A159" t="str">
        <f>HYPERLINK("./new_k5/query_cmdrels_weight_analyze/0.1_0.5_0.4/au_564567.xlsx","au_564567")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HYPERLINK("./new_k5/query_cmdrels_weight_analyze/0.1_0.5_0.4/au_57994.xlsx","au_57994")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0.14285714285714279</v>
      </c>
      <c r="F160">
        <v>0.5714285714285714</v>
      </c>
      <c r="G160">
        <v>0.2</v>
      </c>
    </row>
    <row r="161" spans="1:7" x14ac:dyDescent="0.15">
      <c r="A161" t="str">
        <f>HYPERLINK("./new_k5/query_cmdrels_weight_analyze/0.1_0.5_0.4/au_589210.xlsx","au_589210")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0.375</v>
      </c>
    </row>
    <row r="162" spans="1:7" x14ac:dyDescent="0.15">
      <c r="A162" t="str">
        <f>HYPERLINK("./new_k5/query_cmdrels_weight_analyze/0.1_0.5_0.4/au_5911.xlsx","au_5911")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HYPERLINK("./new_k5/query_cmdrels_weight_analyze/0.1_0.5_0.4/au_59356.xlsx","au_59356")</f>
        <v>au_59356</v>
      </c>
      <c r="B163">
        <v>0</v>
      </c>
      <c r="C163">
        <v>0</v>
      </c>
      <c r="D163">
        <v>0.16666666666666671</v>
      </c>
      <c r="E163">
        <v>0</v>
      </c>
      <c r="F163">
        <v>0.16666666666666671</v>
      </c>
      <c r="G163">
        <v>0</v>
      </c>
    </row>
    <row r="164" spans="1:7" x14ac:dyDescent="0.15">
      <c r="A164" t="str">
        <f>HYPERLINK("./new_k5/query_cmdrels_weight_analyze/0.1_0.5_0.4/au_609850.xlsx","au_609850")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HYPERLINK("./new_k5/query_cmdrels_weight_analyze/0.1_0.5_0.4/au_61408.xlsx","au_61408")</f>
        <v>au_61408</v>
      </c>
      <c r="B165">
        <v>0</v>
      </c>
      <c r="C165">
        <v>0.33333333333333331</v>
      </c>
      <c r="D165">
        <v>0.16666666666666671</v>
      </c>
      <c r="E165">
        <v>0.55555555555555547</v>
      </c>
      <c r="F165">
        <v>0.16666666666666671</v>
      </c>
      <c r="G165">
        <v>0.55555555555555547</v>
      </c>
    </row>
    <row r="166" spans="1:7" x14ac:dyDescent="0.15">
      <c r="A166" t="str">
        <f>HYPERLINK("./new_k5/query_cmdrels_weight_analyze/0.1_0.5_0.4/au_617850.xlsx","au_617850")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HYPERLINK("./new_k5/query_cmdrels_weight_analyze/0.1_0.5_0.4/au_62073.xlsx","au_62073")</f>
        <v>au_62073</v>
      </c>
      <c r="B167">
        <v>0</v>
      </c>
      <c r="C167">
        <v>0.2</v>
      </c>
      <c r="D167">
        <v>0.23333333333333331</v>
      </c>
      <c r="E167">
        <v>0.33333333333333331</v>
      </c>
      <c r="F167">
        <v>0.23333333333333331</v>
      </c>
      <c r="G167">
        <v>0.48333333333333328</v>
      </c>
    </row>
    <row r="168" spans="1:7" x14ac:dyDescent="0.15">
      <c r="A168" t="str">
        <f>HYPERLINK("./new_k5/query_cmdrels_weight_analyze/0.1_0.5_0.4/au_620930.xlsx","au_620930")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0.48333333333333328</v>
      </c>
    </row>
    <row r="169" spans="1:7" x14ac:dyDescent="0.15">
      <c r="A169" t="str">
        <f>HYPERLINK("./new_k5/query_cmdrels_weight_analyze/0.1_0.5_0.4/au_62492.xlsx","au_62492")</f>
        <v>au_62492</v>
      </c>
      <c r="B169">
        <v>0.2</v>
      </c>
      <c r="C169">
        <v>0.2</v>
      </c>
      <c r="D169">
        <v>0.33333333333333331</v>
      </c>
      <c r="E169">
        <v>0.6</v>
      </c>
      <c r="F169">
        <v>0.48333333333333328</v>
      </c>
      <c r="G169">
        <v>0.8</v>
      </c>
    </row>
    <row r="170" spans="1:7" x14ac:dyDescent="0.15">
      <c r="A170" t="str">
        <f>HYPERLINK("./new_k5/query_cmdrels_weight_analyze/0.1_0.5_0.4/au_626078.xlsx","au_626078")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HYPERLINK("./new_k5/query_cmdrels_weight_analyze/0.1_0.5_0.4/au_636944.xlsx","au_636944")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HYPERLINK("./new_k5/query_cmdrels_weight_analyze/0.1_0.5_0.4/au_648603.xlsx","au_648603")</f>
        <v>au_648603</v>
      </c>
      <c r="B172">
        <v>0.25</v>
      </c>
      <c r="C172">
        <v>0.25</v>
      </c>
      <c r="D172">
        <v>0.25</v>
      </c>
      <c r="E172">
        <v>0.25</v>
      </c>
      <c r="F172">
        <v>0.25</v>
      </c>
      <c r="G172">
        <v>0.35</v>
      </c>
    </row>
    <row r="173" spans="1:7" x14ac:dyDescent="0.15">
      <c r="A173" t="str">
        <f>HYPERLINK("./new_k5/query_cmdrels_weight_analyze/0.1_0.5_0.4/au_65331.xlsx","au_65331")</f>
        <v>au_65331</v>
      </c>
      <c r="B173">
        <v>0</v>
      </c>
      <c r="C173">
        <v>0.16666666666666671</v>
      </c>
      <c r="D173">
        <v>8.3333333333333329E-2</v>
      </c>
      <c r="E173">
        <v>0.33333333333333331</v>
      </c>
      <c r="F173">
        <v>0.16666666666666671</v>
      </c>
      <c r="G173">
        <v>0.43333333333333329</v>
      </c>
    </row>
    <row r="174" spans="1:7" x14ac:dyDescent="0.15">
      <c r="A174" t="str">
        <f>HYPERLINK("./new_k5/query_cmdrels_weight_analyze/0.1_0.5_0.4/au_66000.xlsx","au_66000")</f>
        <v>au_66000</v>
      </c>
      <c r="B174">
        <v>0</v>
      </c>
      <c r="C174">
        <v>0.2</v>
      </c>
      <c r="D174">
        <v>0</v>
      </c>
      <c r="E174">
        <v>0.2</v>
      </c>
      <c r="F174">
        <v>0</v>
      </c>
      <c r="G174">
        <v>0.42</v>
      </c>
    </row>
    <row r="175" spans="1:7" x14ac:dyDescent="0.15">
      <c r="A175" t="str">
        <f>HYPERLINK("./new_k5/query_cmdrels_weight_analyze/0.1_0.5_0.4/au_660846.xlsx","au_660846")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HYPERLINK("./new_k5/query_cmdrels_weight_analyze/0.1_0.5_0.4/au_662935.xlsx","au_662935")</f>
        <v>au_662935</v>
      </c>
      <c r="B176">
        <v>0.125</v>
      </c>
      <c r="C176">
        <v>0.125</v>
      </c>
      <c r="D176">
        <v>0.125</v>
      </c>
      <c r="E176">
        <v>0.25</v>
      </c>
      <c r="F176">
        <v>0.125</v>
      </c>
      <c r="G176">
        <v>0.34375</v>
      </c>
    </row>
    <row r="177" spans="1:7" x14ac:dyDescent="0.15">
      <c r="A177" t="str">
        <f>HYPERLINK("./new_k5/query_cmdrels_weight_analyze/0.1_0.5_0.4/au_67663.xlsx","au_67663")</f>
        <v>au_67663</v>
      </c>
      <c r="B177">
        <v>0</v>
      </c>
      <c r="C177">
        <v>0.25</v>
      </c>
      <c r="D177">
        <v>0.29166666666666657</v>
      </c>
      <c r="E177">
        <v>0.5</v>
      </c>
      <c r="F177">
        <v>0.29166666666666657</v>
      </c>
      <c r="G177">
        <v>0.5</v>
      </c>
    </row>
    <row r="178" spans="1:7" x14ac:dyDescent="0.15">
      <c r="A178" t="str">
        <f>HYPERLINK("./new_k5/query_cmdrels_weight_analyze/0.1_0.5_0.4/au_68028.xlsx","au_68028")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0.42857142857142849</v>
      </c>
      <c r="F178">
        <v>0.37142857142857139</v>
      </c>
      <c r="G178">
        <v>0.42857142857142849</v>
      </c>
    </row>
    <row r="179" spans="1:7" x14ac:dyDescent="0.15">
      <c r="A179" t="str">
        <f>HYPERLINK("./new_k5/query_cmdrels_weight_analyze/0.1_0.5_0.4/au_681312.xlsx","au_681312")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0.42857142857142849</v>
      </c>
      <c r="F179">
        <v>0.42857142857142849</v>
      </c>
      <c r="G179">
        <v>0.5714285714285714</v>
      </c>
    </row>
    <row r="180" spans="1:7" x14ac:dyDescent="0.15">
      <c r="A180" t="str">
        <f>HYPERLINK("./new_k5/query_cmdrels_weight_analyze/0.1_0.5_0.4/au_686239.xlsx","au_686239")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HYPERLINK("./new_k5/query_cmdrels_weight_analyze/0.1_0.5_0.4/au_68809.xlsx","au_68809")</f>
        <v>au_68809</v>
      </c>
      <c r="B181">
        <v>0.125</v>
      </c>
      <c r="C181">
        <v>0.125</v>
      </c>
      <c r="D181">
        <v>0.20833333333333329</v>
      </c>
      <c r="E181">
        <v>0.125</v>
      </c>
      <c r="F181">
        <v>0.28333333333333333</v>
      </c>
      <c r="G181">
        <v>0.1875</v>
      </c>
    </row>
    <row r="182" spans="1:7" x14ac:dyDescent="0.15">
      <c r="A182" t="str">
        <f>HYPERLINK("./new_k5/query_cmdrels_weight_analyze/0.1_0.5_0.4/au_69556.xlsx","au_69556")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HYPERLINK("./new_k5/query_cmdrels_weight_analyze/0.1_0.5_0.4/au_698993.xlsx","au_698993")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HYPERLINK("./new_k5/query_cmdrels_weight_analyze/0.1_0.5_0.4/au_707881.xlsx","au_707881")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HYPERLINK("./new_k5/query_cmdrels_weight_analyze/0.1_0.5_0.4/au_709594.xlsx","au_709594")</f>
        <v>au_709594</v>
      </c>
      <c r="B185">
        <v>0.33333333333333331</v>
      </c>
      <c r="C185">
        <v>0.33333333333333331</v>
      </c>
      <c r="D185">
        <v>0.66666666666666663</v>
      </c>
      <c r="E185">
        <v>0.55555555555555547</v>
      </c>
      <c r="F185">
        <v>0.91666666666666663</v>
      </c>
      <c r="G185">
        <v>0.55555555555555547</v>
      </c>
    </row>
    <row r="186" spans="1:7" x14ac:dyDescent="0.15">
      <c r="A186" t="str">
        <f>HYPERLINK("./new_k5/query_cmdrels_weight_analyze/0.1_0.5_0.4/au_71309.xlsx","au_71309")</f>
        <v>au_71309</v>
      </c>
      <c r="B186">
        <v>0.125</v>
      </c>
      <c r="C186">
        <v>0.125</v>
      </c>
      <c r="D186">
        <v>0.20833333333333329</v>
      </c>
      <c r="E186">
        <v>0.20833333333333329</v>
      </c>
      <c r="F186">
        <v>0.20833333333333329</v>
      </c>
      <c r="G186">
        <v>0.30208333333333331</v>
      </c>
    </row>
    <row r="187" spans="1:7" x14ac:dyDescent="0.15">
      <c r="A187" t="str">
        <f>HYPERLINK("./new_k5/query_cmdrels_weight_analyze/0.1_0.5_0.4/au_7138.xlsx","au_7138")</f>
        <v>au_7138</v>
      </c>
      <c r="B187">
        <v>0.25</v>
      </c>
      <c r="C187">
        <v>0</v>
      </c>
      <c r="D187">
        <v>0.75</v>
      </c>
      <c r="E187">
        <v>0</v>
      </c>
      <c r="F187">
        <v>0.75</v>
      </c>
      <c r="G187">
        <v>0</v>
      </c>
    </row>
    <row r="188" spans="1:7" x14ac:dyDescent="0.15">
      <c r="A188" t="str">
        <f>HYPERLINK("./new_k5/query_cmdrels_weight_analyze/0.1_0.5_0.4/au_72549.xlsx","au_72549")</f>
        <v>au_72549</v>
      </c>
      <c r="B188">
        <v>0</v>
      </c>
      <c r="C188">
        <v>0</v>
      </c>
      <c r="D188">
        <v>0</v>
      </c>
      <c r="E188">
        <v>8.3333333333333329E-2</v>
      </c>
      <c r="F188">
        <v>0</v>
      </c>
      <c r="G188">
        <v>8.3333333333333329E-2</v>
      </c>
    </row>
    <row r="189" spans="1:7" x14ac:dyDescent="0.15">
      <c r="A189" t="str">
        <f>HYPERLINK("./new_k5/query_cmdrels_weight_analyze/0.1_0.5_0.4/au_740805.xlsx","au_740805")</f>
        <v>au_740805</v>
      </c>
      <c r="B189">
        <v>0.25</v>
      </c>
      <c r="C189">
        <v>0</v>
      </c>
      <c r="D189">
        <v>0.41666666666666657</v>
      </c>
      <c r="E189">
        <v>0.125</v>
      </c>
      <c r="F189">
        <v>0.41666666666666657</v>
      </c>
      <c r="G189">
        <v>0.25</v>
      </c>
    </row>
    <row r="190" spans="1:7" x14ac:dyDescent="0.15">
      <c r="A190" t="str">
        <f>HYPERLINK("./new_k5/query_cmdrels_weight_analyze/0.1_0.5_0.4/au_760796.xlsx","au_760796")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HYPERLINK("./new_k5/query_cmdrels_weight_analyze/0.1_0.5_0.4/au_762846.xlsx","au_762846")</f>
        <v>au_762846</v>
      </c>
      <c r="B191">
        <v>0.16666666666666671</v>
      </c>
      <c r="C191">
        <v>0</v>
      </c>
      <c r="D191">
        <v>0.5</v>
      </c>
      <c r="E191">
        <v>5.5555555555555552E-2</v>
      </c>
      <c r="F191">
        <v>0.6333333333333333</v>
      </c>
      <c r="G191">
        <v>0.1388888888888889</v>
      </c>
    </row>
    <row r="192" spans="1:7" x14ac:dyDescent="0.15">
      <c r="A192" t="str">
        <f>HYPERLINK("./new_k5/query_cmdrels_weight_analyze/0.1_0.5_0.4/au_767786.xlsx","au_767786")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0.8</v>
      </c>
    </row>
    <row r="193" spans="1:7" x14ac:dyDescent="0.15">
      <c r="A193" t="str">
        <f>HYPERLINK("./new_k5/query_cmdrels_weight_analyze/0.1_0.5_0.4/au_778906.xlsx","au_778906")</f>
        <v>au_778906</v>
      </c>
      <c r="B193">
        <v>0.2</v>
      </c>
      <c r="C193">
        <v>0.2</v>
      </c>
      <c r="D193">
        <v>0.33333333333333331</v>
      </c>
      <c r="E193">
        <v>0.6</v>
      </c>
      <c r="F193">
        <v>0.33333333333333331</v>
      </c>
      <c r="G193">
        <v>0.6</v>
      </c>
    </row>
    <row r="194" spans="1:7" x14ac:dyDescent="0.15">
      <c r="A194" t="str">
        <f>HYPERLINK("./new_k5/query_cmdrels_weight_analyze/0.1_0.5_0.4/au_818929.xlsx","au_818929")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0.3</v>
      </c>
    </row>
    <row r="195" spans="1:7" x14ac:dyDescent="0.15">
      <c r="A195" t="str">
        <f>HYPERLINK("./new_k5/query_cmdrels_weight_analyze/0.1_0.5_0.4/au_844876.xlsx","au_844876")</f>
        <v>au_844876</v>
      </c>
      <c r="B195">
        <v>0.5</v>
      </c>
      <c r="C195">
        <v>0.5</v>
      </c>
      <c r="D195">
        <v>0.5</v>
      </c>
      <c r="E195">
        <v>1</v>
      </c>
      <c r="F195">
        <v>0.5</v>
      </c>
      <c r="G195">
        <v>1</v>
      </c>
    </row>
    <row r="196" spans="1:7" x14ac:dyDescent="0.15">
      <c r="A196" t="str">
        <f>HYPERLINK("./new_k5/query_cmdrels_weight_analyze/0.1_0.5_0.4/au_85318.xlsx","au_85318")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0.4</v>
      </c>
    </row>
    <row r="197" spans="1:7" x14ac:dyDescent="0.15">
      <c r="A197" t="str">
        <f>HYPERLINK("./new_k5/query_cmdrels_weight_analyze/0.1_0.5_0.4/au_854332.xlsx","au_854332")</f>
        <v>au_854332</v>
      </c>
      <c r="B197">
        <v>0.33333333333333331</v>
      </c>
      <c r="C197">
        <v>0.33333333333333331</v>
      </c>
      <c r="D197">
        <v>0.55555555555555547</v>
      </c>
      <c r="E197">
        <v>0.33333333333333331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HYPERLINK("./new_k5/query_cmdrels_weight_analyze/0.1_0.5_0.4/au_854373.xlsx","au_854373")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HYPERLINK("./new_k5/query_cmdrels_weight_analyze/0.1_0.5_0.4/au_86843.xlsx","au_86843")</f>
        <v>au_86843</v>
      </c>
      <c r="B199">
        <v>0</v>
      </c>
      <c r="C199">
        <v>0</v>
      </c>
      <c r="D199">
        <v>0</v>
      </c>
      <c r="E199">
        <v>6.6666666666666666E-2</v>
      </c>
      <c r="F199">
        <v>0.04</v>
      </c>
      <c r="G199">
        <v>6.6666666666666666E-2</v>
      </c>
    </row>
    <row r="200" spans="1:7" x14ac:dyDescent="0.15">
      <c r="A200" t="str">
        <f>HYPERLINK("./new_k5/query_cmdrels_weight_analyze/0.1_0.5_0.4/au_88108.xlsx","au_88108")</f>
        <v>au_88108</v>
      </c>
      <c r="B200">
        <v>0</v>
      </c>
      <c r="C200">
        <v>0</v>
      </c>
      <c r="D200">
        <v>0.1</v>
      </c>
      <c r="E200">
        <v>0</v>
      </c>
      <c r="F200">
        <v>0.1</v>
      </c>
      <c r="G200">
        <v>0</v>
      </c>
    </row>
    <row r="201" spans="1:7" x14ac:dyDescent="0.15">
      <c r="A201" t="str">
        <f>HYPERLINK("./new_k5/query_cmdrels_weight_analyze/0.1_0.5_0.4/au_90214.xlsx","au_90214")</f>
        <v>au_90214</v>
      </c>
      <c r="B201">
        <v>0</v>
      </c>
      <c r="C201">
        <v>0</v>
      </c>
      <c r="D201">
        <v>0.16666666666666671</v>
      </c>
      <c r="E201">
        <v>0.1111111111111111</v>
      </c>
      <c r="F201">
        <v>0.16666666666666671</v>
      </c>
      <c r="G201">
        <v>0.24444444444444449</v>
      </c>
    </row>
    <row r="202" spans="1:7" x14ac:dyDescent="0.15">
      <c r="A202" t="str">
        <f>HYPERLINK("./new_k5/query_cmdrels_weight_analyze/0.1_0.5_0.4/au_90339.xlsx","au_90339")</f>
        <v>au_90339</v>
      </c>
      <c r="B202">
        <v>0</v>
      </c>
      <c r="C202">
        <v>0.14285714285714279</v>
      </c>
      <c r="D202">
        <v>4.7619047619047623E-2</v>
      </c>
      <c r="E202">
        <v>0.42857142857142849</v>
      </c>
      <c r="F202">
        <v>0.2047619047619047</v>
      </c>
      <c r="G202">
        <v>0.42857142857142849</v>
      </c>
    </row>
    <row r="203" spans="1:7" x14ac:dyDescent="0.15">
      <c r="A203" t="str">
        <f>HYPERLINK("./new_k5/query_cmdrels_weight_analyze/0.1_0.5_0.4/au_91286.xlsx","au_91286")</f>
        <v>au_91286</v>
      </c>
      <c r="B203">
        <v>0.5</v>
      </c>
      <c r="C203">
        <v>0</v>
      </c>
      <c r="D203">
        <v>0.5</v>
      </c>
      <c r="E203">
        <v>0.16666666666666671</v>
      </c>
      <c r="F203">
        <v>0.5</v>
      </c>
      <c r="G203">
        <v>0.16666666666666671</v>
      </c>
    </row>
    <row r="204" spans="1:7" x14ac:dyDescent="0.15">
      <c r="A204" t="str">
        <f>HYPERLINK("./new_k5/query_cmdrels_weight_analyze/0.1_0.5_0.4/au_9135.xlsx","au_9135")</f>
        <v>au_9135</v>
      </c>
      <c r="B204">
        <v>0.1</v>
      </c>
      <c r="C204">
        <v>0.1</v>
      </c>
      <c r="D204">
        <v>0.16666666666666671</v>
      </c>
      <c r="E204">
        <v>0.16666666666666671</v>
      </c>
      <c r="F204">
        <v>0.24166666666666661</v>
      </c>
      <c r="G204">
        <v>0.24166666666666661</v>
      </c>
    </row>
    <row r="205" spans="1:7" x14ac:dyDescent="0.15">
      <c r="A205" t="str">
        <f>HYPERLINK("./new_k5/query_cmdrels_weight_analyze/0.1_0.5_0.4/au_935569.xlsx","au_935569")</f>
        <v>au_935569</v>
      </c>
      <c r="B205">
        <v>0.14285714285714279</v>
      </c>
      <c r="C205">
        <v>0.14285714285714279</v>
      </c>
      <c r="D205">
        <v>0.42857142857142849</v>
      </c>
      <c r="E205">
        <v>0.23809523809523811</v>
      </c>
      <c r="F205">
        <v>0.54285714285714282</v>
      </c>
      <c r="G205">
        <v>0.23809523809523811</v>
      </c>
    </row>
    <row r="206" spans="1:7" x14ac:dyDescent="0.15">
      <c r="A206" t="str">
        <f>HYPERLINK("./new_k5/query_cmdrels_weight_analyze/0.1_0.5_0.4/au_97936.xlsx","au_97936")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0.39285714285714279</v>
      </c>
    </row>
    <row r="207" spans="1:7" x14ac:dyDescent="0.15">
      <c r="A207" t="str">
        <f>HYPERLINK("./new_k5/query_cmdrels_weight_analyze/0.1_0.5_0.4/so_10235778.xlsx","so_10235778")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HYPERLINK("./new_k5/query_cmdrels_weight_analyze/0.1_0.5_0.4/so_1045910.xlsx","so_1045910")</f>
        <v>so_1045910</v>
      </c>
      <c r="B208">
        <v>0.25</v>
      </c>
      <c r="C208">
        <v>0</v>
      </c>
      <c r="D208">
        <v>0.25</v>
      </c>
      <c r="E208">
        <v>0.125</v>
      </c>
      <c r="F208">
        <v>0.25</v>
      </c>
      <c r="G208">
        <v>0.25</v>
      </c>
    </row>
    <row r="209" spans="1:7" x14ac:dyDescent="0.15">
      <c r="A209" t="str">
        <f>HYPERLINK("./new_k5/query_cmdrels_weight_analyze/0.1_0.5_0.4/so_10557360.xlsx","so_10557360")</f>
        <v>so_10557360</v>
      </c>
      <c r="B209">
        <v>0</v>
      </c>
      <c r="C209">
        <v>0</v>
      </c>
      <c r="D209">
        <v>0</v>
      </c>
      <c r="E209">
        <v>0.1</v>
      </c>
      <c r="F209">
        <v>0</v>
      </c>
      <c r="G209">
        <v>0.1</v>
      </c>
    </row>
    <row r="210" spans="1:7" x14ac:dyDescent="0.15">
      <c r="A210" t="str">
        <f>HYPERLINK("./new_k5/query_cmdrels_weight_analyze/0.1_0.5_0.4/so_1058047.xlsx","so_1058047")</f>
        <v>so_1058047</v>
      </c>
      <c r="B210">
        <v>0.25</v>
      </c>
      <c r="C210">
        <v>0.25</v>
      </c>
      <c r="D210">
        <v>0.25</v>
      </c>
      <c r="E210">
        <v>0.25</v>
      </c>
      <c r="F210">
        <v>0.25</v>
      </c>
      <c r="G210">
        <v>0.375</v>
      </c>
    </row>
    <row r="211" spans="1:7" x14ac:dyDescent="0.15">
      <c r="A211" t="str">
        <f>HYPERLINK("./new_k5/query_cmdrels_weight_analyze/0.1_0.5_0.4/so_10829402.xlsx","so_10829402")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HYPERLINK("./new_k5/query_cmdrels_weight_analyze/0.1_0.5_0.4/so_1088098.xlsx","so_1088098")</f>
        <v>so_1088098</v>
      </c>
      <c r="B212">
        <v>0</v>
      </c>
      <c r="C212">
        <v>0</v>
      </c>
      <c r="D212">
        <v>0.125</v>
      </c>
      <c r="E212">
        <v>0.125</v>
      </c>
      <c r="F212">
        <v>0.125</v>
      </c>
      <c r="G212">
        <v>0.125</v>
      </c>
    </row>
    <row r="213" spans="1:7" x14ac:dyDescent="0.15">
      <c r="A213" t="str">
        <f>HYPERLINK("./new_k5/query_cmdrels_weight_analyze/0.1_0.5_0.4/so_10990949.xlsx","so_10990949")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0.7</v>
      </c>
    </row>
    <row r="214" spans="1:7" x14ac:dyDescent="0.15">
      <c r="A214" t="str">
        <f>HYPERLINK("./new_k5/query_cmdrels_weight_analyze/0.1_0.5_0.4/so_11211705.xlsx","so_11211705")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HYPERLINK("./new_k5/query_cmdrels_weight_analyze/0.1_0.5_0.4/so_112932.xlsx","so_112932")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HYPERLINK("./new_k5/query_cmdrels_weight_analyze/0.1_0.5_0.4/so_11392189.xlsx","so_11392189")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8.3333333333333329E-2</v>
      </c>
    </row>
    <row r="217" spans="1:7" x14ac:dyDescent="0.15">
      <c r="A217" t="str">
        <f>HYPERLINK("./new_k5/query_cmdrels_weight_analyze/0.1_0.5_0.4/so_1183183.xlsx","so_1183183")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HYPERLINK("./new_k5/query_cmdrels_weight_analyze/0.1_0.5_0.4/so_1194882.xlsx","so_1194882")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HYPERLINK("./new_k5/query_cmdrels_weight_analyze/0.1_0.5_0.4/so_12120935.xlsx","so_12120935")</f>
        <v>so_12120935</v>
      </c>
      <c r="B219">
        <v>0.25</v>
      </c>
      <c r="C219">
        <v>0.25</v>
      </c>
      <c r="D219">
        <v>0.41666666666666657</v>
      </c>
      <c r="E219">
        <v>0.5</v>
      </c>
      <c r="F219">
        <v>0.41666666666666657</v>
      </c>
      <c r="G219">
        <v>0.6875</v>
      </c>
    </row>
    <row r="220" spans="1:7" x14ac:dyDescent="0.15">
      <c r="A220" t="str">
        <f>HYPERLINK("./new_k5/query_cmdrels_weight_analyze/0.1_0.5_0.4/so_12313384.xlsx","so_12313384")</f>
        <v>so_12313384</v>
      </c>
      <c r="B220">
        <v>0</v>
      </c>
      <c r="C220">
        <v>0.33333333333333331</v>
      </c>
      <c r="D220">
        <v>0.16666666666666671</v>
      </c>
      <c r="E220">
        <v>0.33333333333333331</v>
      </c>
      <c r="F220">
        <v>0.16666666666666671</v>
      </c>
      <c r="G220">
        <v>0.33333333333333331</v>
      </c>
    </row>
    <row r="221" spans="1:7" x14ac:dyDescent="0.15">
      <c r="A221" t="str">
        <f>HYPERLINK("./new_k5/query_cmdrels_weight_analyze/0.1_0.5_0.4/so_12392598.xlsx","so_12392598")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0.42857142857142849</v>
      </c>
      <c r="F221">
        <v>0.2857142857142857</v>
      </c>
      <c r="G221">
        <v>0.54285714285714282</v>
      </c>
    </row>
    <row r="222" spans="1:7" x14ac:dyDescent="0.15">
      <c r="A222" t="str">
        <f>HYPERLINK("./new_k5/query_cmdrels_weight_analyze/0.1_0.5_0.4/so_1241801.xlsx","so_1241801")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HYPERLINK("./new_k5/query_cmdrels_weight_analyze/0.1_0.5_0.4/so_12522269.xlsx","so_12522269")</f>
        <v>so_12522269</v>
      </c>
      <c r="B223">
        <v>0.2</v>
      </c>
      <c r="C223">
        <v>0</v>
      </c>
      <c r="D223">
        <v>0.2</v>
      </c>
      <c r="E223">
        <v>0.1</v>
      </c>
      <c r="F223">
        <v>0.28000000000000003</v>
      </c>
      <c r="G223">
        <v>0.1</v>
      </c>
    </row>
    <row r="224" spans="1:7" x14ac:dyDescent="0.15">
      <c r="A224" t="str">
        <f>HYPERLINK("./new_k5/query_cmdrels_weight_analyze/0.1_0.5_0.4/so_1293907.xlsx","so_1293907")</f>
        <v>so_1293907</v>
      </c>
      <c r="B224">
        <v>0</v>
      </c>
      <c r="C224">
        <v>0.33333333333333331</v>
      </c>
      <c r="D224">
        <v>0</v>
      </c>
      <c r="E224">
        <v>0.55555555555555547</v>
      </c>
      <c r="F224">
        <v>8.3333333333333329E-2</v>
      </c>
      <c r="G224">
        <v>0.75555555555555554</v>
      </c>
    </row>
    <row r="225" spans="1:7" x14ac:dyDescent="0.15">
      <c r="A225" t="str">
        <f>HYPERLINK("./new_k5/query_cmdrels_weight_analyze/0.1_0.5_0.4/so_13428910.xlsx","so_13428910")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HYPERLINK("./new_k5/query_cmdrels_weight_analyze/0.1_0.5_0.4/so_135688.xlsx","so_135688")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HYPERLINK("./new_k5/query_cmdrels_weight_analyze/0.1_0.5_0.4/so_13778273.xlsx","so_13778273")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0.65</v>
      </c>
    </row>
    <row r="228" spans="1:7" x14ac:dyDescent="0.15">
      <c r="A228" t="str">
        <f>HYPERLINK("./new_k5/query_cmdrels_weight_analyze/0.1_0.5_0.4/so_1405611.xlsx","so_1405611")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</v>
      </c>
      <c r="F228">
        <v>0.33333333333333331</v>
      </c>
      <c r="G228">
        <v>8.3333333333333329E-2</v>
      </c>
    </row>
    <row r="229" spans="1:7" x14ac:dyDescent="0.15">
      <c r="A229" t="str">
        <f>HYPERLINK("./new_k5/query_cmdrels_weight_analyze/0.1_0.5_0.4/so_14300794.xlsx","so_14300794")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HYPERLINK("./new_k5/query_cmdrels_weight_analyze/0.1_0.5_0.4/so_143791.xlsx","so_143791")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HYPERLINK("./new_k5/query_cmdrels_weight_analyze/0.1_0.5_0.4/so_14750650.xlsx","so_14750650")</f>
        <v>so_14750650</v>
      </c>
      <c r="B231">
        <v>0</v>
      </c>
      <c r="C231">
        <v>0</v>
      </c>
      <c r="D231">
        <v>0</v>
      </c>
      <c r="E231">
        <v>8.3333333333333329E-2</v>
      </c>
      <c r="F231">
        <v>0</v>
      </c>
      <c r="G231">
        <v>0.18333333333333329</v>
      </c>
    </row>
    <row r="232" spans="1:7" x14ac:dyDescent="0.15">
      <c r="A232" t="str">
        <f>HYPERLINK("./new_k5/query_cmdrels_weight_analyze/0.1_0.5_0.4/so_14978411.xlsx","so_14978411")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HYPERLINK("./new_k5/query_cmdrels_weight_analyze/0.1_0.5_0.4/so_15236308.xlsx","so_15236308")</f>
        <v>so_15236308</v>
      </c>
      <c r="B233">
        <v>0.25</v>
      </c>
      <c r="C233">
        <v>0.25</v>
      </c>
      <c r="D233">
        <v>0.25</v>
      </c>
      <c r="E233">
        <v>0.5</v>
      </c>
      <c r="F233">
        <v>0.25</v>
      </c>
      <c r="G233">
        <v>0.6875</v>
      </c>
    </row>
    <row r="234" spans="1:7" x14ac:dyDescent="0.15">
      <c r="A234" t="str">
        <f>HYPERLINK("./new_k5/query_cmdrels_weight_analyze/0.1_0.5_0.4/so_15286947.xlsx","so_15286947")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HYPERLINK("./new_k5/query_cmdrels_weight_analyze/0.1_0.5_0.4/so_15402770.xlsx","so_15402770")</f>
        <v>so_15402770</v>
      </c>
      <c r="B235">
        <v>0</v>
      </c>
      <c r="C235">
        <v>0.16666666666666671</v>
      </c>
      <c r="D235">
        <v>0.19444444444444439</v>
      </c>
      <c r="E235">
        <v>0.27777777777777768</v>
      </c>
      <c r="F235">
        <v>0.19444444444444439</v>
      </c>
      <c r="G235">
        <v>0.40277777777777768</v>
      </c>
    </row>
    <row r="236" spans="1:7" x14ac:dyDescent="0.15">
      <c r="A236" t="str">
        <f>HYPERLINK("./new_k5/query_cmdrels_weight_analyze/0.1_0.5_0.4/so_1570262.xlsx","so_1570262")</f>
        <v>so_1570262</v>
      </c>
      <c r="B236">
        <v>0</v>
      </c>
      <c r="C236">
        <v>0</v>
      </c>
      <c r="D236">
        <v>0</v>
      </c>
      <c r="E236">
        <v>6.6666666666666666E-2</v>
      </c>
      <c r="F236">
        <v>0</v>
      </c>
      <c r="G236">
        <v>6.6666666666666666E-2</v>
      </c>
    </row>
    <row r="237" spans="1:7" x14ac:dyDescent="0.15">
      <c r="A237" t="str">
        <f>HYPERLINK("./new_k5/query_cmdrels_weight_analyze/0.1_0.5_0.4/so_1583219.xlsx","so_1583219")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HYPERLINK("./new_k5/query_cmdrels_weight_analyze/0.1_0.5_0.4/so_15872543.xlsx","so_15872543")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HYPERLINK("./new_k5/query_cmdrels_weight_analyze/0.1_0.5_0.4/so_16038087.xlsx","so_16038087")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0.14285714285714279</v>
      </c>
      <c r="F239">
        <v>0.2857142857142857</v>
      </c>
      <c r="G239">
        <v>0.14285714285714279</v>
      </c>
    </row>
    <row r="240" spans="1:7" x14ac:dyDescent="0.15">
      <c r="A240" t="str">
        <f>HYPERLINK("./new_k5/query_cmdrels_weight_analyze/0.1_0.5_0.4/so_16212656.xlsx","so_16212656")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HYPERLINK("./new_k5/query_cmdrels_weight_analyze/0.1_0.5_0.4/so_16575419.xlsx","so_16575419")</f>
        <v>so_16575419</v>
      </c>
      <c r="B241">
        <v>0.25</v>
      </c>
      <c r="C241">
        <v>0.25</v>
      </c>
      <c r="D241">
        <v>0.25</v>
      </c>
      <c r="E241">
        <v>0.75</v>
      </c>
      <c r="F241">
        <v>0.25</v>
      </c>
      <c r="G241">
        <v>0.75</v>
      </c>
    </row>
    <row r="242" spans="1:7" x14ac:dyDescent="0.15">
      <c r="A242" t="str">
        <f>HYPERLINK("./new_k5/query_cmdrels_weight_analyze/0.1_0.5_0.4/so_17582768.xlsx","so_17582768")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8.3333333333333329E-2</v>
      </c>
    </row>
    <row r="243" spans="1:7" x14ac:dyDescent="0.15">
      <c r="A243" t="str">
        <f>HYPERLINK("./new_k5/query_cmdrels_weight_analyze/0.1_0.5_0.4/so_17607612.xlsx","so_17607612")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HYPERLINK("./new_k5/query_cmdrels_weight_analyze/0.1_0.5_0.4/so_17829785.xlsx","so_17829785")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HYPERLINK("./new_k5/query_cmdrels_weight_analyze/0.1_0.5_0.4/so_1839841.xlsx","so_1839841")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HYPERLINK("./new_k5/query_cmdrels_weight_analyze/0.1_0.5_0.4/so_18468716.xlsx","so_18468716")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0.46666666666666662</v>
      </c>
    </row>
    <row r="247" spans="1:7" x14ac:dyDescent="0.15">
      <c r="A247" t="str">
        <f>HYPERLINK("./new_k5/query_cmdrels_weight_analyze/0.1_0.5_0.4/so_19196105.xlsx","so_19196105")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0.19166666666666671</v>
      </c>
    </row>
    <row r="248" spans="1:7" x14ac:dyDescent="0.15">
      <c r="A248" t="str">
        <f>HYPERLINK("./new_k5/query_cmdrels_weight_analyze/0.1_0.5_0.4/so_19482123.xlsx","so_19482123")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HYPERLINK("./new_k5/query_cmdrels_weight_analyze/0.1_0.5_0.4/so_1975849.xlsx","so_1975849")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HYPERLINK("./new_k5/query_cmdrels_weight_analyze/0.1_0.5_0.4/so_212528.xlsx","so_212528")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0.45833333333333331</v>
      </c>
    </row>
    <row r="251" spans="1:7" x14ac:dyDescent="0.15">
      <c r="A251" t="str">
        <f>HYPERLINK("./new_k5/query_cmdrels_weight_analyze/0.1_0.5_0.4/so_21620406.xlsx","so_21620406")</f>
        <v>so_21620406</v>
      </c>
      <c r="B251">
        <v>0</v>
      </c>
      <c r="C251">
        <v>0</v>
      </c>
      <c r="D251">
        <v>0.1111111111111111</v>
      </c>
      <c r="E251">
        <v>0</v>
      </c>
      <c r="F251">
        <v>0.1111111111111111</v>
      </c>
      <c r="G251">
        <v>0</v>
      </c>
    </row>
    <row r="252" spans="1:7" x14ac:dyDescent="0.15">
      <c r="A252" t="str">
        <f>HYPERLINK("./new_k5/query_cmdrels_weight_analyze/0.1_0.5_0.4/so_23509348.xlsx","so_23509348")</f>
        <v>so_23509348</v>
      </c>
      <c r="B252">
        <v>0</v>
      </c>
      <c r="C252">
        <v>0.25</v>
      </c>
      <c r="D252">
        <v>0</v>
      </c>
      <c r="E252">
        <v>0.25</v>
      </c>
      <c r="F252">
        <v>0</v>
      </c>
      <c r="G252">
        <v>0.375</v>
      </c>
    </row>
    <row r="253" spans="1:7" x14ac:dyDescent="0.15">
      <c r="A253" t="str">
        <f>HYPERLINK("./new_k5/query_cmdrels_weight_analyze/0.1_0.5_0.4/so_24058544.xlsx","so_24058544")</f>
        <v>so_24058544</v>
      </c>
      <c r="B253">
        <v>0.2</v>
      </c>
      <c r="C253">
        <v>0.2</v>
      </c>
      <c r="D253">
        <v>0.2</v>
      </c>
      <c r="E253">
        <v>0.33333333333333331</v>
      </c>
      <c r="F253">
        <v>0.2</v>
      </c>
      <c r="G253">
        <v>0.33333333333333331</v>
      </c>
    </row>
    <row r="254" spans="1:7" x14ac:dyDescent="0.15">
      <c r="A254" t="str">
        <f>HYPERLINK("./new_k5/query_cmdrels_weight_analyze/0.1_0.5_0.4/so_24283097.xlsx","so_24283097")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HYPERLINK("./new_k5/query_cmdrels_weight_analyze/0.1_0.5_0.4/so_26256279.xlsx","so_26256279")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HYPERLINK("./new_k5/query_cmdrels_weight_analyze/0.1_0.5_0.4/so_26331651.xlsx","so_26331651")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HYPERLINK("./new_k5/query_cmdrels_weight_analyze/0.1_0.5_0.4/so_26988262.xlsx","so_26988262")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0.46666666666666662</v>
      </c>
    </row>
    <row r="258" spans="1:7" x14ac:dyDescent="0.15">
      <c r="A258" t="str">
        <f>HYPERLINK("./new_k5/query_cmdrels_weight_analyze/0.1_0.5_0.4/so_27238411.xlsx","so_27238411")</f>
        <v>so_27238411</v>
      </c>
      <c r="B258">
        <v>0.2</v>
      </c>
      <c r="C258">
        <v>0.2</v>
      </c>
      <c r="D258">
        <v>0.6</v>
      </c>
      <c r="E258">
        <v>0.33333333333333331</v>
      </c>
      <c r="F258">
        <v>0.6</v>
      </c>
      <c r="G258">
        <v>0.48333333333333328</v>
      </c>
    </row>
    <row r="259" spans="1:7" x14ac:dyDescent="0.15">
      <c r="A259" t="str">
        <f>HYPERLINK("./new_k5/query_cmdrels_weight_analyze/0.1_0.5_0.4/so_27943059.xlsx","so_27943059")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0.55555555555555547</v>
      </c>
      <c r="F259">
        <v>0.16666666666666671</v>
      </c>
      <c r="G259">
        <v>0.55555555555555547</v>
      </c>
    </row>
    <row r="260" spans="1:7" x14ac:dyDescent="0.15">
      <c r="A260" t="str">
        <f>HYPERLINK("./new_k5/query_cmdrels_weight_analyze/0.1_0.5_0.4/so_28869004.xlsx","so_28869004")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0.5</v>
      </c>
    </row>
    <row r="261" spans="1:7" x14ac:dyDescent="0.15">
      <c r="A261" t="str">
        <f>HYPERLINK("./new_k5/query_cmdrels_weight_analyze/0.1_0.5_0.4/so_2973624.xlsx","so_2973624")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0.33333333333333331</v>
      </c>
      <c r="F261">
        <v>0.66666666666666663</v>
      </c>
      <c r="G261">
        <v>0.33333333333333331</v>
      </c>
    </row>
    <row r="262" spans="1:7" x14ac:dyDescent="0.15">
      <c r="A262" t="str">
        <f>HYPERLINK("./new_k5/query_cmdrels_weight_analyze/0.1_0.5_0.4/so_30177455.xlsx","so_30177455")</f>
        <v>so_30177455</v>
      </c>
      <c r="B262">
        <v>0</v>
      </c>
      <c r="C262">
        <v>0</v>
      </c>
      <c r="D262">
        <v>0.16666666666666671</v>
      </c>
      <c r="E262">
        <v>0.1111111111111111</v>
      </c>
      <c r="F262">
        <v>0.16666666666666671</v>
      </c>
      <c r="G262">
        <v>0.1111111111111111</v>
      </c>
    </row>
    <row r="263" spans="1:7" x14ac:dyDescent="0.15">
      <c r="A263" t="str">
        <f>HYPERLINK("./new_k5/query_cmdrels_weight_analyze/0.1_0.5_0.4/so_30251889.xlsx","so_30251889")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0.6791666666666667</v>
      </c>
    </row>
    <row r="264" spans="1:7" x14ac:dyDescent="0.15">
      <c r="A264" t="str">
        <f>HYPERLINK("./new_k5/query_cmdrels_weight_analyze/0.1_0.5_0.4/so_305035.xlsx","so_305035")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HYPERLINK("./new_k5/query_cmdrels_weight_analyze/0.1_0.5_0.4/so_36249744.xlsx","so_36249744")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HYPERLINK("./new_k5/query_cmdrels_weight_analyze/0.1_0.5_0.4/so_3643848.xlsx","so_3643848")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HYPERLINK("./new_k5/query_cmdrels_weight_analyze/0.1_0.5_0.4/so_3667329.xlsx","so_3667329")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HYPERLINK("./new_k5/query_cmdrels_weight_analyze/0.1_0.5_0.4/so_369758.xlsx","so_369758")</f>
        <v>so_369758</v>
      </c>
      <c r="B268">
        <v>0.2</v>
      </c>
      <c r="C268">
        <v>0.2</v>
      </c>
      <c r="D268">
        <v>0.4</v>
      </c>
      <c r="E268">
        <v>0.6</v>
      </c>
      <c r="F268">
        <v>0.4</v>
      </c>
      <c r="G268">
        <v>0.6</v>
      </c>
    </row>
    <row r="269" spans="1:7" x14ac:dyDescent="0.15">
      <c r="A269" t="str">
        <f>HYPERLINK("./new_k5/query_cmdrels_weight_analyze/0.1_0.5_0.4/so_3756323.xlsx","so_3756323")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0.75</v>
      </c>
    </row>
    <row r="270" spans="1:7" x14ac:dyDescent="0.15">
      <c r="A270" t="str">
        <f>HYPERLINK("./new_k5/query_cmdrels_weight_analyze/0.1_0.5_0.4/so_3767267.xlsx","so_3767267")</f>
        <v>so_3767267</v>
      </c>
      <c r="B270">
        <v>0</v>
      </c>
      <c r="C270">
        <v>0</v>
      </c>
      <c r="D270">
        <v>6.6666666666666666E-2</v>
      </c>
      <c r="E270">
        <v>0.1</v>
      </c>
      <c r="F270">
        <v>6.6666666666666666E-2</v>
      </c>
      <c r="G270">
        <v>0.2</v>
      </c>
    </row>
    <row r="271" spans="1:7" x14ac:dyDescent="0.15">
      <c r="A271" t="str">
        <f>HYPERLINK("./new_k5/query_cmdrels_weight_analyze/0.1_0.5_0.4/so_3833578.xlsx","so_3833578")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HYPERLINK("./new_k5/query_cmdrels_weight_analyze/0.1_0.5_0.4/so_3891076.xlsx","so_3891076")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0.375</v>
      </c>
    </row>
    <row r="273" spans="1:7" x14ac:dyDescent="0.15">
      <c r="A273" t="str">
        <f>HYPERLINK("./new_k5/query_cmdrels_weight_analyze/0.1_0.5_0.4/so_3963085.xlsx","so_3963085")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HYPERLINK("./new_k5/query_cmdrels_weight_analyze/0.1_0.5_0.4/so_4325216.xlsx","so_4325216")</f>
        <v>so_4325216</v>
      </c>
      <c r="B274">
        <v>0.5</v>
      </c>
      <c r="C274">
        <v>0.5</v>
      </c>
      <c r="D274">
        <v>0.5</v>
      </c>
      <c r="E274">
        <v>1</v>
      </c>
      <c r="F274">
        <v>0.5</v>
      </c>
      <c r="G274">
        <v>1</v>
      </c>
    </row>
    <row r="275" spans="1:7" x14ac:dyDescent="0.15">
      <c r="A275" t="str">
        <f>HYPERLINK("./new_k5/query_cmdrels_weight_analyze/0.1_0.5_0.4/so_448005.xlsx","so_448005")</f>
        <v>so_448005</v>
      </c>
      <c r="B275">
        <v>1</v>
      </c>
      <c r="C275">
        <v>0</v>
      </c>
      <c r="D275">
        <v>1</v>
      </c>
      <c r="E275">
        <v>0.33333333333333331</v>
      </c>
      <c r="F275">
        <v>1</v>
      </c>
      <c r="G275">
        <v>0.33333333333333331</v>
      </c>
    </row>
    <row r="276" spans="1:7" x14ac:dyDescent="0.15">
      <c r="A276" t="str">
        <f>HYPERLINK("./new_k5/query_cmdrels_weight_analyze/0.1_0.5_0.4/so_4921879.xlsx","so_4921879")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HYPERLINK("./new_k5/query_cmdrels_weight_analyze/0.1_0.5_0.4/so_4922943.xlsx","so_4922943")</f>
        <v>so_4922943</v>
      </c>
      <c r="B277">
        <v>0.2</v>
      </c>
      <c r="C277">
        <v>0</v>
      </c>
      <c r="D277">
        <v>0.33333333333333331</v>
      </c>
      <c r="E277">
        <v>0.1</v>
      </c>
      <c r="F277">
        <v>0.33333333333333331</v>
      </c>
      <c r="G277">
        <v>0.18</v>
      </c>
    </row>
    <row r="278" spans="1:7" x14ac:dyDescent="0.15">
      <c r="A278" t="str">
        <f>HYPERLINK("./new_k5/query_cmdrels_weight_analyze/0.1_0.5_0.4/so_5119946.xlsx","so_5119946")</f>
        <v>so_5119946</v>
      </c>
      <c r="B278">
        <v>0.5</v>
      </c>
      <c r="C278">
        <v>0</v>
      </c>
      <c r="D278">
        <v>0.5</v>
      </c>
      <c r="E278">
        <v>0.58333333333333326</v>
      </c>
      <c r="F278">
        <v>0.5</v>
      </c>
      <c r="G278">
        <v>0.58333333333333326</v>
      </c>
    </row>
    <row r="279" spans="1:7" x14ac:dyDescent="0.15">
      <c r="A279" t="str">
        <f>HYPERLINK("./new_k5/query_cmdrels_weight_analyze/0.1_0.5_0.4/so_5164985.xlsx","so_5164985")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HYPERLINK("./new_k5/query_cmdrels_weight_analyze/0.1_0.5_0.4/so_5306153.xlsx","so_5306153")</f>
        <v>so_5306153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15">
      <c r="A281" t="str">
        <f>HYPERLINK("./new_k5/query_cmdrels_weight_analyze/0.1_0.5_0.4/so_5566310.xlsx","so_5566310")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HYPERLINK("./new_k5/query_cmdrels_weight_analyze/0.1_0.5_0.4/so_5927369.xlsx","so_5927369")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HYPERLINK("./new_k5/query_cmdrels_weight_analyze/0.1_0.5_0.4/so_5947742.xlsx","so_5947742")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HYPERLINK("./new_k5/query_cmdrels_weight_analyze/0.1_0.5_0.4/so_614795.xlsx","so_614795")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HYPERLINK("./new_k5/query_cmdrels_weight_analyze/0.1_0.5_0.4/so_6207573.xlsx","so_6207573")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0.2857142857142857</v>
      </c>
      <c r="F285">
        <v>0.37142857142857139</v>
      </c>
      <c r="G285">
        <v>0.39285714285714279</v>
      </c>
    </row>
    <row r="286" spans="1:7" x14ac:dyDescent="0.15">
      <c r="A286" t="str">
        <f>HYPERLINK("./new_k5/query_cmdrels_weight_analyze/0.1_0.5_0.4/so_6283167.xlsx","so_6283167")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HYPERLINK("./new_k5/query_cmdrels_weight_analyze/0.1_0.5_0.4/so_6329505.xlsx","so_6329505")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HYPERLINK("./new_k5/query_cmdrels_weight_analyze/0.1_0.5_0.4/so_6423532.xlsx","so_6423532")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HYPERLINK("./new_k5/query_cmdrels_weight_analyze/0.1_0.5_0.4/so_669438.xlsx","so_669438")</f>
        <v>so_669438</v>
      </c>
      <c r="B289">
        <v>0.2</v>
      </c>
      <c r="C289">
        <v>0.2</v>
      </c>
      <c r="D289">
        <v>0.6</v>
      </c>
      <c r="E289">
        <v>0.33333333333333331</v>
      </c>
      <c r="F289">
        <v>0.6</v>
      </c>
      <c r="G289">
        <v>0.33333333333333331</v>
      </c>
    </row>
    <row r="290" spans="1:7" x14ac:dyDescent="0.15">
      <c r="A290" t="str">
        <f>HYPERLINK("./new_k5/query_cmdrels_weight_analyze/0.1_0.5_0.4/so_7052875.xlsx","so_7052875")</f>
        <v>so_7052875</v>
      </c>
      <c r="B290">
        <v>0.2</v>
      </c>
      <c r="C290">
        <v>0.2</v>
      </c>
      <c r="D290">
        <v>0.2</v>
      </c>
      <c r="E290">
        <v>0.33333333333333331</v>
      </c>
      <c r="F290">
        <v>0.2</v>
      </c>
      <c r="G290">
        <v>0.33333333333333331</v>
      </c>
    </row>
    <row r="291" spans="1:7" x14ac:dyDescent="0.15">
      <c r="A291" t="str">
        <f>HYPERLINK("./new_k5/query_cmdrels_weight_analyze/0.1_0.5_0.4/so_7221757.xlsx","so_7221757")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HYPERLINK("./new_k5/query_cmdrels_weight_analyze/0.1_0.5_0.4/so_750604.xlsx","so_750604")</f>
        <v>so_750604</v>
      </c>
      <c r="B292">
        <v>0</v>
      </c>
      <c r="C292">
        <v>0</v>
      </c>
      <c r="D292">
        <v>0.1111111111111111</v>
      </c>
      <c r="E292">
        <v>0</v>
      </c>
      <c r="F292">
        <v>0.1111111111111111</v>
      </c>
      <c r="G292">
        <v>8.3333333333333329E-2</v>
      </c>
    </row>
    <row r="293" spans="1:7" x14ac:dyDescent="0.15">
      <c r="A293" t="str">
        <f>HYPERLINK("./new_k5/query_cmdrels_weight_analyze/0.1_0.5_0.4/so_7575267.xlsx","so_7575267")</f>
        <v>so_7575267</v>
      </c>
      <c r="B293">
        <v>0</v>
      </c>
      <c r="C293">
        <v>0.25</v>
      </c>
      <c r="D293">
        <v>0</v>
      </c>
      <c r="E293">
        <v>0.5</v>
      </c>
      <c r="F293">
        <v>0</v>
      </c>
      <c r="G293">
        <v>0.6875</v>
      </c>
    </row>
    <row r="294" spans="1:7" x14ac:dyDescent="0.15">
      <c r="A294" t="str">
        <f>HYPERLINK("./new_k5/query_cmdrels_weight_analyze/0.1_0.5_0.4/so_7698488.xlsx","so_7698488")</f>
        <v>so_7698488</v>
      </c>
      <c r="B294">
        <v>0</v>
      </c>
      <c r="C294">
        <v>0</v>
      </c>
      <c r="D294">
        <v>0</v>
      </c>
      <c r="E294">
        <v>8.3333333333333329E-2</v>
      </c>
      <c r="F294">
        <v>0</v>
      </c>
      <c r="G294">
        <v>0.18333333333333329</v>
      </c>
    </row>
    <row r="295" spans="1:7" x14ac:dyDescent="0.15">
      <c r="A295" t="str">
        <f>HYPERLINK("./new_k5/query_cmdrels_weight_analyze/0.1_0.5_0.4/so_801095.xlsx","so_801095")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0.55555555555555547</v>
      </c>
      <c r="F295">
        <v>0.33333333333333331</v>
      </c>
      <c r="G295">
        <v>0.75555555555555554</v>
      </c>
    </row>
    <row r="296" spans="1:7" x14ac:dyDescent="0.15">
      <c r="A296" t="str">
        <f>HYPERLINK("./new_k5/query_cmdrels_weight_analyze/0.1_0.5_0.4/so_8249705.xlsx","so_8249705")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HYPERLINK("./new_k5/query_cmdrels_weight_analyze/0.1_0.5_0.4/so_8423541.xlsx","so_8423541")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HYPERLINK("./new_k5/query_cmdrels_weight_analyze/0.1_0.5_0.4/so_8654051.xlsx","so_8654051")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HYPERLINK("./new_k5/query_cmdrels_weight_analyze/0.1_0.5_0.4/so_890262.xlsx","so_890262")</f>
        <v>so_890262</v>
      </c>
      <c r="B299">
        <v>0</v>
      </c>
      <c r="C299">
        <v>0</v>
      </c>
      <c r="D299">
        <v>0</v>
      </c>
      <c r="E299">
        <v>0.1111111111111111</v>
      </c>
      <c r="F299">
        <v>0</v>
      </c>
      <c r="G299">
        <v>0.27777777777777768</v>
      </c>
    </row>
    <row r="300" spans="1:7" x14ac:dyDescent="0.15">
      <c r="A300" t="str">
        <f>HYPERLINK("./new_k5/query_cmdrels_weight_analyze/0.1_0.5_0.4/so_893585.xlsx","so_893585")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HYPERLINK("./new_k5/query_cmdrels_weight_analyze/0.1_0.5_0.4/so_9223460.xlsx","so_9223460")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HYPERLINK("./new_k5/query_cmdrels_weight_analyze/0.1_0.5_0.4/so_9245638.xlsx","so_9245638")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HYPERLINK("./new_k5/query_cmdrels_weight_analyze/0.1_0.5_0.4/so_9304953.xlsx","so_9304953")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HYPERLINK("./new_k5/query_cmdrels_weight_analyze/0.1_0.5_0.4/so_9361816.xlsx","so_9361816")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HYPERLINK("./new_k5/query_cmdrels_weight_analyze/0.1_0.5_0.4/su_116617.xlsx","su_116617")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HYPERLINK("./new_k5/query_cmdrels_weight_analyze/0.1_0.5_0.4/su_120045.xlsx","su_120045")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HYPERLINK("./new_k5/query_cmdrels_weight_analyze/0.1_0.5_0.4/su_127863.xlsx","su_127863")</f>
        <v>su_127863</v>
      </c>
      <c r="B307">
        <v>0</v>
      </c>
      <c r="C307">
        <v>0</v>
      </c>
      <c r="D307">
        <v>0.25</v>
      </c>
      <c r="E307">
        <v>0.25</v>
      </c>
      <c r="F307">
        <v>0.25</v>
      </c>
      <c r="G307">
        <v>0.45</v>
      </c>
    </row>
    <row r="308" spans="1:7" x14ac:dyDescent="0.15">
      <c r="A308" t="str">
        <f>HYPERLINK("./new_k5/query_cmdrels_weight_analyze/0.1_0.5_0.4/su_135498.xlsx","su_135498")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HYPERLINK("./new_k5/query_cmdrels_weight_analyze/0.1_0.5_0.4/su_147027.xlsx","su_147027")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HYPERLINK("./new_k5/query_cmdrels_weight_analyze/0.1_0.5_0.4/su_151911.xlsx","su_151911")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0.05</v>
      </c>
    </row>
    <row r="311" spans="1:7" x14ac:dyDescent="0.15">
      <c r="A311" t="str">
        <f>HYPERLINK("./new_k5/query_cmdrels_weight_analyze/0.1_0.5_0.4/su_153415.xlsx","su_153415")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HYPERLINK("./new_k5/query_cmdrels_weight_analyze/0.1_0.5_0.4/su_156189.xlsx","su_156189")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0.16666666666666671</v>
      </c>
      <c r="F312">
        <v>0.16666666666666671</v>
      </c>
      <c r="G312">
        <v>0.25</v>
      </c>
    </row>
    <row r="313" spans="1:7" x14ac:dyDescent="0.15">
      <c r="A313" t="str">
        <f>HYPERLINK("./new_k5/query_cmdrels_weight_analyze/0.1_0.5_0.4/su_161531.xlsx","su_161531")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HYPERLINK("./new_k5/query_cmdrels_weight_analyze/0.1_0.5_0.4/su_204209.xlsx","su_204209")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HYPERLINK("./new_k5/query_cmdrels_weight_analyze/0.1_0.5_0.4/su_214390.xlsx","su_214390")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HYPERLINK("./new_k5/query_cmdrels_weight_analyze/0.1_0.5_0.4/su_215483.xlsx","su_215483")</f>
        <v>su_215483</v>
      </c>
      <c r="B316">
        <v>0.5</v>
      </c>
      <c r="C316">
        <v>0.5</v>
      </c>
      <c r="D316">
        <v>1</v>
      </c>
      <c r="E316">
        <v>0.83333333333333326</v>
      </c>
      <c r="F316">
        <v>1</v>
      </c>
      <c r="G316">
        <v>0.83333333333333326</v>
      </c>
    </row>
    <row r="317" spans="1:7" x14ac:dyDescent="0.15">
      <c r="A317" t="str">
        <f>HYPERLINK("./new_k5/query_cmdrels_weight_analyze/0.1_0.5_0.4/su_215504.xlsx","su_215504")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0.44166666666666671</v>
      </c>
    </row>
    <row r="318" spans="1:7" x14ac:dyDescent="0.15">
      <c r="A318" t="str">
        <f>HYPERLINK("./new_k5/query_cmdrels_weight_analyze/0.1_0.5_0.4/su_227385.xlsx","su_227385")</f>
        <v>su_227385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6.25E-2</v>
      </c>
    </row>
    <row r="319" spans="1:7" x14ac:dyDescent="0.15">
      <c r="A319" t="str">
        <f>HYPERLINK("./new_k5/query_cmdrels_weight_analyze/0.1_0.5_0.4/su_273254.xlsx","su_273254")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HYPERLINK("./new_k5/query_cmdrels_weight_analyze/0.1_0.5_0.4/su_294161.xlsx","su_294161")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HYPERLINK("./new_k5/query_cmdrels_weight_analyze/0.1_0.5_0.4/su_302396.xlsx","su_302396")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HYPERLINK("./new_k5/query_cmdrels_weight_analyze/0.1_0.5_0.4/su_303981.xlsx","su_303981")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HYPERLINK("./new_k5/query_cmdrels_weight_analyze/0.1_0.5_0.4/su_305128.xlsx","su_305128")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HYPERLINK("./new_k5/query_cmdrels_weight_analyze/0.1_0.5_0.4/su_31512.xlsx","su_31512")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HYPERLINK("./new_k5/query_cmdrels_weight_analyze/0.1_0.5_0.4/su_380520.xlsx","su_380520")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</v>
      </c>
    </row>
    <row r="326" spans="1:7" x14ac:dyDescent="0.15">
      <c r="A326" t="str">
        <f>HYPERLINK("./new_k5/query_cmdrels_weight_analyze/0.1_0.5_0.4/su_38981.xlsx","su_38981")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0.55555555555555547</v>
      </c>
      <c r="F326">
        <v>0.33333333333333331</v>
      </c>
      <c r="G326">
        <v>0.55555555555555547</v>
      </c>
    </row>
    <row r="327" spans="1:7" x14ac:dyDescent="0.15">
      <c r="A327" t="str">
        <f>HYPERLINK("./new_k5/query_cmdrels_weight_analyze/0.1_0.5_0.4/su_437330.xlsx","su_437330")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HYPERLINK("./new_k5/query_cmdrels_weight_analyze/0.1_0.5_0.4/su_441379.xlsx","su_441379")</f>
        <v>su_441379</v>
      </c>
      <c r="B328">
        <v>0.125</v>
      </c>
      <c r="C328">
        <v>0.125</v>
      </c>
      <c r="D328">
        <v>0.20833333333333329</v>
      </c>
      <c r="E328">
        <v>0.375</v>
      </c>
      <c r="F328">
        <v>0.30208333333333331</v>
      </c>
      <c r="G328">
        <v>0.5</v>
      </c>
    </row>
    <row r="329" spans="1:7" x14ac:dyDescent="0.15">
      <c r="A329" t="str">
        <f>HYPERLINK("./new_k5/query_cmdrels_weight_analyze/0.1_0.5_0.4/su_462788.xlsx","su_462788")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0.22222222222222221</v>
      </c>
      <c r="F329">
        <v>0.30555555555555558</v>
      </c>
      <c r="G329">
        <v>0.30555555555555558</v>
      </c>
    </row>
    <row r="330" spans="1:7" x14ac:dyDescent="0.15">
      <c r="A330" t="str">
        <f>HYPERLINK("./new_k5/query_cmdrels_weight_analyze/0.1_0.5_0.4/su_626606.xlsx","su_626606")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0.83333333333333337</v>
      </c>
    </row>
    <row r="331" spans="1:7" x14ac:dyDescent="0.15">
      <c r="A331" t="str">
        <f>HYPERLINK("./new_k5/query_cmdrels_weight_analyze/0.1_0.5_0.4/su_634469.xlsx","su_634469")</f>
        <v>su_634469</v>
      </c>
      <c r="B331">
        <v>0</v>
      </c>
      <c r="C331">
        <v>0</v>
      </c>
      <c r="D331">
        <v>0</v>
      </c>
      <c r="E331">
        <v>8.3333333333333329E-2</v>
      </c>
      <c r="F331">
        <v>0</v>
      </c>
      <c r="G331">
        <v>8.3333333333333329E-2</v>
      </c>
    </row>
    <row r="332" spans="1:7" x14ac:dyDescent="0.15">
      <c r="A332" t="str">
        <f>HYPERLINK("./new_k5/query_cmdrels_weight_analyze/0.1_0.5_0.4/su_638616.xlsx","su_638616")</f>
        <v>su_638616</v>
      </c>
      <c r="B332">
        <v>0</v>
      </c>
      <c r="C332">
        <v>0.25</v>
      </c>
      <c r="D332">
        <v>0.125</v>
      </c>
      <c r="E332">
        <v>0.75</v>
      </c>
      <c r="F332">
        <v>0.125</v>
      </c>
      <c r="G332">
        <v>0.75</v>
      </c>
    </row>
    <row r="333" spans="1:7" x14ac:dyDescent="0.15">
      <c r="A333" t="str">
        <f>HYPERLINK("./new_k5/query_cmdrels_weight_analyze/0.1_0.5_0.4/su_678113.xlsx","su_678113")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HYPERLINK("./new_k5/query_cmdrels_weight_analyze/0.1_0.5_0.4/su_686394.xlsx","su_686394")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HYPERLINK("./new_k5/query_cmdrels_weight_analyze/0.1_0.5_0.4/su_716795.xlsx","su_716795")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0.125</v>
      </c>
    </row>
    <row r="336" spans="1:7" x14ac:dyDescent="0.15">
      <c r="A336" t="str">
        <f>HYPERLINK("./new_k5/query_cmdrels_weight_analyze/0.1_0.5_0.4/su_758463.xlsx","su_758463")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HYPERLINK("./new_k5/query_cmdrels_weight_analyze/0.1_0.5_0.4/su_766437.xlsx","su_766437")</f>
        <v>su_766437</v>
      </c>
      <c r="B337">
        <v>0</v>
      </c>
      <c r="C337">
        <v>0</v>
      </c>
      <c r="D337">
        <v>0</v>
      </c>
      <c r="E337">
        <v>6.6666666666666666E-2</v>
      </c>
      <c r="F337">
        <v>0.05</v>
      </c>
      <c r="G337">
        <v>0.28666666666666663</v>
      </c>
    </row>
    <row r="338" spans="1:7" x14ac:dyDescent="0.15">
      <c r="A338" t="str">
        <f>HYPERLINK("./new_k5/query_cmdrels_weight_analyze/0.1_0.5_0.4/su_904001.xlsx","su_904001")</f>
        <v>su_904001</v>
      </c>
      <c r="B338">
        <v>0.5</v>
      </c>
      <c r="C338">
        <v>0.5</v>
      </c>
      <c r="D338">
        <v>0.5</v>
      </c>
      <c r="E338">
        <v>0.5</v>
      </c>
      <c r="F338">
        <v>0.5</v>
      </c>
      <c r="G338">
        <v>0.75</v>
      </c>
    </row>
    <row r="339" spans="1:7" x14ac:dyDescent="0.15">
      <c r="A339" t="str">
        <f>HYPERLINK("./new_k5/query_cmdrels_weight_analyze/0.1_0.5_0.4/ul_100959.xlsx","ul_100959")</f>
        <v>ul_100959</v>
      </c>
      <c r="B339">
        <v>0</v>
      </c>
      <c r="C339">
        <v>0.5</v>
      </c>
      <c r="D339">
        <v>0.25</v>
      </c>
      <c r="E339">
        <v>0.83333333333333326</v>
      </c>
      <c r="F339">
        <v>0.25</v>
      </c>
      <c r="G339">
        <v>0.83333333333333326</v>
      </c>
    </row>
    <row r="340" spans="1:7" x14ac:dyDescent="0.15">
      <c r="A340" t="str">
        <f>HYPERLINK("./new_k5/query_cmdrels_weight_analyze/0.1_0.5_0.4/ul_101073.xlsx","ul_101073")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HYPERLINK("./new_k5/query_cmdrels_weight_analyze/0.1_0.5_0.4/ul_101237.xlsx","ul_101237")</f>
        <v>ul_101237</v>
      </c>
      <c r="B341">
        <v>0</v>
      </c>
      <c r="C341">
        <v>0</v>
      </c>
      <c r="D341">
        <v>0.25</v>
      </c>
      <c r="E341">
        <v>0.25</v>
      </c>
      <c r="F341">
        <v>0.25</v>
      </c>
      <c r="G341">
        <v>0.45</v>
      </c>
    </row>
    <row r="342" spans="1:7" x14ac:dyDescent="0.15">
      <c r="A342" t="str">
        <f>HYPERLINK("./new_k5/query_cmdrels_weight_analyze/0.1_0.5_0.4/ul_102752.xlsx","ul_102752")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HYPERLINK("./new_k5/query_cmdrels_weight_analyze/0.1_0.5_0.4/ul_108174.xlsx","ul_108174")</f>
        <v>ul_108174</v>
      </c>
      <c r="B343">
        <v>0</v>
      </c>
      <c r="C343">
        <v>0</v>
      </c>
      <c r="D343">
        <v>0.16666666666666671</v>
      </c>
      <c r="E343">
        <v>0</v>
      </c>
      <c r="F343">
        <v>0.16666666666666671</v>
      </c>
      <c r="G343">
        <v>0</v>
      </c>
    </row>
    <row r="344" spans="1:7" x14ac:dyDescent="0.15">
      <c r="A344" t="str">
        <f>HYPERLINK("./new_k5/query_cmdrels_weight_analyze/0.1_0.5_0.4/ul_109536.xlsx","ul_109536")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HYPERLINK("./new_k5/query_cmdrels_weight_analyze/0.1_0.5_0.4/ul_112050.xlsx","ul_112050")</f>
        <v>ul_112050</v>
      </c>
      <c r="B345">
        <v>0</v>
      </c>
      <c r="C345">
        <v>0.25</v>
      </c>
      <c r="D345">
        <v>0.125</v>
      </c>
      <c r="E345">
        <v>0.5</v>
      </c>
      <c r="F345">
        <v>0.125</v>
      </c>
      <c r="G345">
        <v>0.65</v>
      </c>
    </row>
    <row r="346" spans="1:7" x14ac:dyDescent="0.15">
      <c r="A346" t="str">
        <f>HYPERLINK("./new_k5/query_cmdrels_weight_analyze/0.1_0.5_0.4/ul_116070.xlsx","ul_116070")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HYPERLINK("./new_k5/query_cmdrels_weight_analyze/0.1_0.5_0.4/ul_11851.xlsx","ul_11851")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HYPERLINK("./new_k5/query_cmdrels_weight_analyze/0.1_0.5_0.4/ul_119126.xlsx","ul_119126")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HYPERLINK("./new_k5/query_cmdrels_weight_analyze/0.1_0.5_0.4/ul_121718.xlsx","ul_121718")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HYPERLINK("./new_k5/query_cmdrels_weight_analyze/0.1_0.5_0.4/ul_12227.xlsx","ul_12227")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HYPERLINK("./new_k5/query_cmdrels_weight_analyze/0.1_0.5_0.4/ul_12453.xlsx","ul_12453")</f>
        <v>ul_12453</v>
      </c>
      <c r="B351">
        <v>0</v>
      </c>
      <c r="C351">
        <v>0.25</v>
      </c>
      <c r="D351">
        <v>0.125</v>
      </c>
      <c r="E351">
        <v>0.75</v>
      </c>
      <c r="F351">
        <v>0.125</v>
      </c>
      <c r="G351">
        <v>1</v>
      </c>
    </row>
    <row r="352" spans="1:7" x14ac:dyDescent="0.15">
      <c r="A352" t="str">
        <f>HYPERLINK("./new_k5/query_cmdrels_weight_analyze/0.1_0.5_0.4/ul_12535.xlsx","ul_12535")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0.16666666666666671</v>
      </c>
    </row>
    <row r="353" spans="1:7" x14ac:dyDescent="0.15">
      <c r="A353" t="str">
        <f>HYPERLINK("./new_k5/query_cmdrels_weight_analyze/0.1_0.5_0.4/ul_127066.xlsx","ul_127066")</f>
        <v>ul_127066</v>
      </c>
      <c r="B353">
        <v>0.25</v>
      </c>
      <c r="C353">
        <v>0.25</v>
      </c>
      <c r="D353">
        <v>0.25</v>
      </c>
      <c r="E353">
        <v>0.41666666666666657</v>
      </c>
      <c r="F353">
        <v>0.25</v>
      </c>
      <c r="G353">
        <v>0.41666666666666657</v>
      </c>
    </row>
    <row r="354" spans="1:7" x14ac:dyDescent="0.15">
      <c r="A354" t="str">
        <f>HYPERLINK("./new_k5/query_cmdrels_weight_analyze/0.1_0.5_0.4/ul_128953.xlsx","ul_128953")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HYPERLINK("./new_k5/query_cmdrels_weight_analyze/0.1_0.5_0.4/ul_134829.xlsx","ul_134829")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0.66666666666666663</v>
      </c>
    </row>
    <row r="356" spans="1:7" x14ac:dyDescent="0.15">
      <c r="A356" t="str">
        <f>HYPERLINK("./new_k5/query_cmdrels_weight_analyze/0.1_0.5_0.4/ul_136371.xlsx","ul_136371")</f>
        <v>ul_136371</v>
      </c>
      <c r="B356">
        <v>0</v>
      </c>
      <c r="C356">
        <v>0</v>
      </c>
      <c r="D356">
        <v>0</v>
      </c>
      <c r="E356">
        <v>0.1111111111111111</v>
      </c>
      <c r="F356">
        <v>0</v>
      </c>
      <c r="G356">
        <v>0.24444444444444449</v>
      </c>
    </row>
    <row r="357" spans="1:7" x14ac:dyDescent="0.15">
      <c r="A357" t="str">
        <f>HYPERLINK("./new_k5/query_cmdrels_weight_analyze/0.1_0.5_0.4/ul_136884.xlsx","ul_136884")</f>
        <v>ul_136884</v>
      </c>
      <c r="B357">
        <v>0</v>
      </c>
      <c r="C357">
        <v>0</v>
      </c>
      <c r="D357">
        <v>0</v>
      </c>
      <c r="E357">
        <v>0.1111111111111111</v>
      </c>
      <c r="F357">
        <v>0</v>
      </c>
      <c r="G357">
        <v>0.1111111111111111</v>
      </c>
    </row>
    <row r="358" spans="1:7" x14ac:dyDescent="0.15">
      <c r="A358" t="str">
        <f>HYPERLINK("./new_k5/query_cmdrels_weight_analyze/0.1_0.5_0.4/ul_138398.xlsx","ul_138398")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HYPERLINK("./new_k5/query_cmdrels_weight_analyze/0.1_0.5_0.4/ul_139271.xlsx","ul_139271")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0.5</v>
      </c>
      <c r="F359">
        <v>0.33333333333333331</v>
      </c>
      <c r="G359">
        <v>0.5</v>
      </c>
    </row>
    <row r="360" spans="1:7" x14ac:dyDescent="0.15">
      <c r="A360" t="str">
        <f>HYPERLINK("./new_k5/query_cmdrels_weight_analyze/0.1_0.5_0.4/ul_140482.xlsx","ul_140482")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HYPERLINK("./new_k5/query_cmdrels_weight_analyze/0.1_0.5_0.4/ul_14191.xlsx","ul_14191")</f>
        <v>ul_14191</v>
      </c>
      <c r="B361">
        <v>0.33333333333333331</v>
      </c>
      <c r="C361">
        <v>0</v>
      </c>
      <c r="D361">
        <v>0.55555555555555547</v>
      </c>
      <c r="E361">
        <v>0</v>
      </c>
      <c r="F361">
        <v>0.55555555555555547</v>
      </c>
      <c r="G361">
        <v>0.2166666666666667</v>
      </c>
    </row>
    <row r="362" spans="1:7" x14ac:dyDescent="0.15">
      <c r="A362" t="str">
        <f>HYPERLINK("./new_k5/query_cmdrels_weight_analyze/0.1_0.5_0.4/ul_145929.xlsx","ul_145929")</f>
        <v>ul_145929</v>
      </c>
      <c r="B362">
        <v>0</v>
      </c>
      <c r="C362">
        <v>0</v>
      </c>
      <c r="D362">
        <v>0.16666666666666671</v>
      </c>
      <c r="E362">
        <v>0.25</v>
      </c>
      <c r="F362">
        <v>0.16666666666666671</v>
      </c>
      <c r="G362">
        <v>0.5</v>
      </c>
    </row>
    <row r="363" spans="1:7" x14ac:dyDescent="0.15">
      <c r="A363" t="str">
        <f>HYPERLINK("./new_k5/query_cmdrels_weight_analyze/0.1_0.5_0.4/ul_148985.xlsx","ul_148985")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HYPERLINK("./new_k5/query_cmdrels_weight_analyze/0.1_0.5_0.4/ul_15405.xlsx","ul_15405")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HYPERLINK("./new_k5/query_cmdrels_weight_analyze/0.1_0.5_0.4/ul_155551.xlsx","ul_155551")</f>
        <v>ul_155551</v>
      </c>
      <c r="B365">
        <v>0</v>
      </c>
      <c r="C365">
        <v>0.5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HYPERLINK("./new_k5/query_cmdrels_weight_analyze/0.1_0.5_0.4/ul_159672.xlsx","ul_159672")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HYPERLINK("./new_k5/query_cmdrels_weight_analyze/0.1_0.5_0.4/ul_163845.xlsx","ul_163845")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0.29166666666666657</v>
      </c>
    </row>
    <row r="368" spans="1:7" x14ac:dyDescent="0.15">
      <c r="A368" t="str">
        <f>HYPERLINK("./new_k5/query_cmdrels_weight_analyze/0.1_0.5_0.4/ul_16407.xlsx","ul_16407")</f>
        <v>ul_16407</v>
      </c>
      <c r="B368">
        <v>0.5</v>
      </c>
      <c r="C368">
        <v>0</v>
      </c>
      <c r="D368">
        <v>0.5</v>
      </c>
      <c r="E368">
        <v>0.25</v>
      </c>
      <c r="F368">
        <v>0.75</v>
      </c>
      <c r="G368">
        <v>0.25</v>
      </c>
    </row>
    <row r="369" spans="1:7" x14ac:dyDescent="0.15">
      <c r="A369" t="str">
        <f>HYPERLINK("./new_k5/query_cmdrels_weight_analyze/0.1_0.5_0.4/ul_166558.xlsx","ul_166558")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HYPERLINK("./new_k5/query_cmdrels_weight_analyze/0.1_0.5_0.4/ul_171314.xlsx","ul_171314")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0.25</v>
      </c>
    </row>
    <row r="371" spans="1:7" x14ac:dyDescent="0.15">
      <c r="A371" t="str">
        <f>HYPERLINK("./new_k5/query_cmdrels_weight_analyze/0.1_0.5_0.4/ul_182032.xlsx","ul_182032")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HYPERLINK("./new_k5/query_cmdrels_weight_analyze/0.1_0.5_0.4/ul_19344.xlsx","ul_19344")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HYPERLINK("./new_k5/query_cmdrels_weight_analyze/0.1_0.5_0.4/ul_19369.xlsx","ul_19369")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HYPERLINK("./new_k5/query_cmdrels_weight_analyze/0.1_0.5_0.4/ul_19485.xlsx","ul_19485")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HYPERLINK("./new_k5/query_cmdrels_weight_analyze/0.1_0.5_0.4/ul_20370.xlsx","ul_20370")</f>
        <v>ul_20370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0.1</v>
      </c>
    </row>
    <row r="376" spans="1:7" x14ac:dyDescent="0.15">
      <c r="A376" t="str">
        <f>HYPERLINK("./new_k5/query_cmdrels_weight_analyze/0.1_0.5_0.4/ul_211817.xlsx","ul_211817")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HYPERLINK("./new_k5/query_cmdrels_weight_analyze/0.1_0.5_0.4/ul_212925.xlsx","ul_212925")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HYPERLINK("./new_k5/query_cmdrels_weight_analyze/0.1_0.5_0.4/ul_21471.xlsx","ul_21471")</f>
        <v>ul_21471</v>
      </c>
      <c r="B378">
        <v>0</v>
      </c>
      <c r="C378">
        <v>0</v>
      </c>
      <c r="D378">
        <v>0</v>
      </c>
      <c r="E378">
        <v>0</v>
      </c>
      <c r="F378">
        <v>8.3333333333333329E-2</v>
      </c>
      <c r="G378">
        <v>0</v>
      </c>
    </row>
    <row r="379" spans="1:7" x14ac:dyDescent="0.15">
      <c r="A379" t="str">
        <f>HYPERLINK("./new_k5/query_cmdrels_weight_analyze/0.1_0.5_0.4/ul_22545.xlsx","ul_22545")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HYPERLINK("./new_k5/query_cmdrels_weight_analyze/0.1_0.5_0.4/ul_230481.xlsx","ul_230481")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HYPERLINK("./new_k5/query_cmdrels_weight_analyze/0.1_0.5_0.4/ul_230673.xlsx","ul_230673")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0.5</v>
      </c>
    </row>
    <row r="382" spans="1:7" x14ac:dyDescent="0.15">
      <c r="A382" t="str">
        <f>HYPERLINK("./new_k5/query_cmdrels_weight_analyze/0.1_0.5_0.4/ul_230800.xlsx","ul_230800")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HYPERLINK("./new_k5/query_cmdrels_weight_analyze/0.1_0.5_0.4/ul_232384.xlsx","ul_232384")</f>
        <v>ul_232384</v>
      </c>
      <c r="B383">
        <v>0</v>
      </c>
      <c r="C383">
        <v>0.5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HYPERLINK("./new_k5/query_cmdrels_weight_analyze/0.1_0.5_0.4/ul_24441.xlsx","ul_24441")</f>
        <v>ul_24441</v>
      </c>
      <c r="B384">
        <v>0</v>
      </c>
      <c r="C384">
        <v>0.5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HYPERLINK("./new_k5/query_cmdrels_weight_analyze/0.1_0.5_0.4/ul_246535.xlsx","ul_246535")</f>
        <v>ul_246535</v>
      </c>
      <c r="B385">
        <v>0.2</v>
      </c>
      <c r="C385">
        <v>0.2</v>
      </c>
      <c r="D385">
        <v>0.2</v>
      </c>
      <c r="E385">
        <v>0.2</v>
      </c>
      <c r="F385">
        <v>0.2</v>
      </c>
      <c r="G385">
        <v>0.42</v>
      </c>
    </row>
    <row r="386" spans="1:7" x14ac:dyDescent="0.15">
      <c r="A386" t="str">
        <f>HYPERLINK("./new_k5/query_cmdrels_weight_analyze/0.1_0.5_0.4/ul_259791.xlsx","ul_259791")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HYPERLINK("./new_k5/query_cmdrels_weight_analyze/0.1_0.5_0.4/ul_273971.xlsx","ul_273971")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0.27777777777777768</v>
      </c>
      <c r="F387">
        <v>0.43333333333333329</v>
      </c>
      <c r="G387">
        <v>0.27777777777777768</v>
      </c>
    </row>
    <row r="388" spans="1:7" x14ac:dyDescent="0.15">
      <c r="A388" t="str">
        <f>HYPERLINK("./new_k5/query_cmdrels_weight_analyze/0.1_0.5_0.4/ul_28553.xlsx","ul_28553")</f>
        <v>ul_28553</v>
      </c>
      <c r="B388">
        <v>0.25</v>
      </c>
      <c r="C388">
        <v>0.25</v>
      </c>
      <c r="D388">
        <v>0.5</v>
      </c>
      <c r="E388">
        <v>0.25</v>
      </c>
      <c r="F388">
        <v>0.5</v>
      </c>
      <c r="G388">
        <v>0.25</v>
      </c>
    </row>
    <row r="389" spans="1:7" x14ac:dyDescent="0.15">
      <c r="A389" t="str">
        <f>HYPERLINK("./new_k5/query_cmdrels_weight_analyze/0.1_0.5_0.4/ul_288521.xlsx","ul_288521")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HYPERLINK("./new_k5/query_cmdrels_weight_analyze/0.1_0.5_0.4/ul_32290.xlsx","ul_32290")</f>
        <v>ul_32290</v>
      </c>
      <c r="B390">
        <v>0</v>
      </c>
      <c r="C390">
        <v>0</v>
      </c>
      <c r="D390">
        <v>0</v>
      </c>
      <c r="E390">
        <v>8.3333333333333329E-2</v>
      </c>
      <c r="F390">
        <v>0</v>
      </c>
      <c r="G390">
        <v>8.3333333333333329E-2</v>
      </c>
    </row>
    <row r="391" spans="1:7" x14ac:dyDescent="0.15">
      <c r="A391" t="str">
        <f>HYPERLINK("./new_k5/query_cmdrels_weight_analyze/0.1_0.5_0.4/ul_328882.xlsx","ul_328882")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HYPERLINK("./new_k5/query_cmdrels_weight_analyze/0.1_0.5_0.4/ul_35131.xlsx","ul_35131")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0.91666666666666663</v>
      </c>
    </row>
    <row r="393" spans="1:7" x14ac:dyDescent="0.15">
      <c r="A393" t="str">
        <f>HYPERLINK("./new_k5/query_cmdrels_weight_analyze/0.1_0.5_0.4/ul_35333.xlsx","ul_35333")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HYPERLINK("./new_k5/query_cmdrels_weight_analyze/0.1_0.5_0.4/ul_35711.xlsx","ul_35711")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HYPERLINK("./new_k5/query_cmdrels_weight_analyze/0.1_0.5_0.4/ul_3575.xlsx","ul_3575")</f>
        <v>ul_3575</v>
      </c>
      <c r="B395">
        <v>0</v>
      </c>
      <c r="C395">
        <v>0</v>
      </c>
      <c r="D395">
        <v>8.3333333333333329E-2</v>
      </c>
      <c r="E395">
        <v>8.3333333333333329E-2</v>
      </c>
      <c r="F395">
        <v>8.3333333333333329E-2</v>
      </c>
      <c r="G395">
        <v>8.3333333333333329E-2</v>
      </c>
    </row>
    <row r="396" spans="1:7" x14ac:dyDescent="0.15">
      <c r="A396" t="str">
        <f>HYPERLINK("./new_k5/query_cmdrels_weight_analyze/0.1_0.5_0.4/ul_35832.xlsx","ul_35832")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HYPERLINK("./new_k5/query_cmdrels_weight_analyze/0.1_0.5_0.4/ul_370318.xlsx","ul_370318")</f>
        <v>ul_370318</v>
      </c>
      <c r="B397">
        <v>0.14285714285714279</v>
      </c>
      <c r="C397">
        <v>0.14285714285714279</v>
      </c>
      <c r="D397">
        <v>0.14285714285714279</v>
      </c>
      <c r="E397">
        <v>0.14285714285714279</v>
      </c>
      <c r="F397">
        <v>0.14285714285714279</v>
      </c>
      <c r="G397">
        <v>0.14285714285714279</v>
      </c>
    </row>
    <row r="398" spans="1:7" x14ac:dyDescent="0.15">
      <c r="A398" t="str">
        <f>HYPERLINK("./new_k5/query_cmdrels_weight_analyze/0.1_0.5_0.4/ul_37329.xlsx","ul_37329")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0.66666666666666663</v>
      </c>
      <c r="F398">
        <v>0.33333333333333331</v>
      </c>
      <c r="G398">
        <v>0.66666666666666663</v>
      </c>
    </row>
    <row r="399" spans="1:7" x14ac:dyDescent="0.15">
      <c r="A399" t="str">
        <f>HYPERLINK("./new_k5/query_cmdrels_weight_analyze/0.1_0.5_0.4/ul_38209.xlsx","ul_38209")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HYPERLINK("./new_k5/query_cmdrels_weight_analyze/0.1_0.5_0.4/ul_41246.xlsx","ul_41246")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HYPERLINK("./new_k5/query_cmdrels_weight_analyze/0.1_0.5_0.4/ul_41362.xlsx","ul_41362")</f>
        <v>ul_41362</v>
      </c>
      <c r="B401">
        <v>0</v>
      </c>
      <c r="C401">
        <v>0</v>
      </c>
      <c r="D401">
        <v>0</v>
      </c>
      <c r="E401">
        <v>8.3333333333333329E-2</v>
      </c>
      <c r="F401">
        <v>0</v>
      </c>
      <c r="G401">
        <v>8.3333333333333329E-2</v>
      </c>
    </row>
    <row r="402" spans="1:7" x14ac:dyDescent="0.15">
      <c r="A402" t="str">
        <f>HYPERLINK("./new_k5/query_cmdrels_weight_analyze/0.1_0.5_0.4/ul_48200.xlsx","ul_48200")</f>
        <v>ul_48200</v>
      </c>
      <c r="B402">
        <v>0</v>
      </c>
      <c r="C402">
        <v>0</v>
      </c>
      <c r="D402">
        <v>0</v>
      </c>
      <c r="E402">
        <v>0.16666666666666671</v>
      </c>
      <c r="F402">
        <v>0</v>
      </c>
      <c r="G402">
        <v>0.41666666666666657</v>
      </c>
    </row>
    <row r="403" spans="1:7" x14ac:dyDescent="0.15">
      <c r="A403" t="str">
        <f>HYPERLINK("./new_k5/query_cmdrels_weight_analyze/0.1_0.5_0.4/ul_50098.xlsx","ul_50098")</f>
        <v>ul_50098</v>
      </c>
      <c r="B403">
        <v>0</v>
      </c>
      <c r="C403">
        <v>0</v>
      </c>
      <c r="D403">
        <v>0.1166666666666667</v>
      </c>
      <c r="E403">
        <v>0.1166666666666667</v>
      </c>
      <c r="F403">
        <v>0.1166666666666667</v>
      </c>
      <c r="G403">
        <v>0.1166666666666667</v>
      </c>
    </row>
    <row r="404" spans="1:7" x14ac:dyDescent="0.15">
      <c r="A404" t="str">
        <f>HYPERLINK("./new_k5/query_cmdrels_weight_analyze/0.1_0.5_0.4/ul_50785.xlsx","ul_50785")</f>
        <v>ul_50785</v>
      </c>
      <c r="B404">
        <v>0.25</v>
      </c>
      <c r="C404">
        <v>0.25</v>
      </c>
      <c r="D404">
        <v>0.25</v>
      </c>
      <c r="E404">
        <v>0.5</v>
      </c>
      <c r="F404">
        <v>0.25</v>
      </c>
      <c r="G404">
        <v>0.5</v>
      </c>
    </row>
    <row r="405" spans="1:7" x14ac:dyDescent="0.15">
      <c r="A405" t="str">
        <f>HYPERLINK("./new_k5/query_cmdrels_weight_analyze/0.1_0.5_0.4/ul_5085.xlsx","ul_5085")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HYPERLINK("./new_k5/query_cmdrels_weight_analyze/0.1_0.5_0.4/ul_53737.xlsx","ul_53737")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HYPERLINK("./new_k5/query_cmdrels_weight_analyze/0.1_0.5_0.4/ul_55125.xlsx","ul_55125")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HYPERLINK("./new_k5/query_cmdrels_weight_analyze/0.1_0.5_0.4/ul_56453.xlsx","ul_56453")</f>
        <v>ul_56453</v>
      </c>
      <c r="B408">
        <v>0</v>
      </c>
      <c r="C408">
        <v>0</v>
      </c>
      <c r="D408">
        <v>8.3333333333333329E-2</v>
      </c>
      <c r="E408">
        <v>0.125</v>
      </c>
      <c r="F408">
        <v>8.3333333333333329E-2</v>
      </c>
      <c r="G408">
        <v>0.125</v>
      </c>
    </row>
    <row r="409" spans="1:7" x14ac:dyDescent="0.15">
      <c r="A409" t="str">
        <f>HYPERLINK("./new_k5/query_cmdrels_weight_analyze/0.1_0.5_0.4/ul_63648.xlsx","ul_63648")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HYPERLINK("./new_k5/query_cmdrels_weight_analyze/0.1_0.5_0.4/ul_6402.xlsx","ul_6402")</f>
        <v>ul_6402</v>
      </c>
      <c r="B410">
        <v>0.33333333333333331</v>
      </c>
      <c r="C410">
        <v>0</v>
      </c>
      <c r="D410">
        <v>0.33333333333333331</v>
      </c>
      <c r="E410">
        <v>0.16666666666666671</v>
      </c>
      <c r="F410">
        <v>0.33333333333333331</v>
      </c>
      <c r="G410">
        <v>0.16666666666666671</v>
      </c>
    </row>
    <row r="411" spans="1:7" x14ac:dyDescent="0.15">
      <c r="A411" t="str">
        <f>HYPERLINK("./new_k5/query_cmdrels_weight_analyze/0.1_0.5_0.4/ul_65106.xlsx","ul_65106")</f>
        <v>ul_65106</v>
      </c>
      <c r="B411">
        <v>0.33333333333333331</v>
      </c>
      <c r="C411">
        <v>0.33333333333333331</v>
      </c>
      <c r="D411">
        <v>1</v>
      </c>
      <c r="E411">
        <v>0.33333333333333331</v>
      </c>
      <c r="F411">
        <v>1</v>
      </c>
      <c r="G411">
        <v>0.33333333333333331</v>
      </c>
    </row>
    <row r="412" spans="1:7" x14ac:dyDescent="0.15">
      <c r="A412" t="str">
        <f>HYPERLINK("./new_k5/query_cmdrels_weight_analyze/0.1_0.5_0.4/ul_65932.xlsx","ul_65932")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HYPERLINK("./new_k5/query_cmdrels_weight_analyze/0.1_0.5_0.4/ul_6596.xlsx","ul_6596")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HYPERLINK("./new_k5/query_cmdrels_weight_analyze/0.1_0.5_0.4/ul_67503.xlsx","ul_67503")</f>
        <v>ul_67503</v>
      </c>
      <c r="B414">
        <v>0</v>
      </c>
      <c r="C414">
        <v>0.5</v>
      </c>
      <c r="D414">
        <v>0.25</v>
      </c>
      <c r="E414">
        <v>0.5</v>
      </c>
      <c r="F414">
        <v>0.5</v>
      </c>
      <c r="G414">
        <v>0.75</v>
      </c>
    </row>
    <row r="415" spans="1:7" x14ac:dyDescent="0.15">
      <c r="A415" t="str">
        <f>HYPERLINK("./new_k5/query_cmdrels_weight_analyze/0.1_0.5_0.4/ul_67592.xlsx","ul_67592")</f>
        <v>ul_67592</v>
      </c>
      <c r="B415">
        <v>0.33333333333333331</v>
      </c>
      <c r="C415">
        <v>0</v>
      </c>
      <c r="D415">
        <v>0.33333333333333331</v>
      </c>
      <c r="E415">
        <v>0</v>
      </c>
      <c r="F415">
        <v>0.33333333333333331</v>
      </c>
      <c r="G415">
        <v>8.3333333333333329E-2</v>
      </c>
    </row>
    <row r="416" spans="1:7" x14ac:dyDescent="0.15">
      <c r="A416" t="str">
        <f>HYPERLINK("./new_k5/query_cmdrels_weight_analyze/0.1_0.5_0.4/ul_70581.xlsx","ul_70581")</f>
        <v>ul_70581</v>
      </c>
      <c r="B416">
        <v>0</v>
      </c>
      <c r="C416">
        <v>0</v>
      </c>
      <c r="D416">
        <v>0.1</v>
      </c>
      <c r="E416">
        <v>6.6666666666666666E-2</v>
      </c>
      <c r="F416">
        <v>0.1</v>
      </c>
      <c r="G416">
        <v>0.28666666666666663</v>
      </c>
    </row>
    <row r="417" spans="1:7" x14ac:dyDescent="0.15">
      <c r="A417" t="str">
        <f>HYPERLINK("./new_k5/query_cmdrels_weight_analyze/0.1_0.5_0.4/ul_70614.xlsx","ul_70614")</f>
        <v>ul_70614</v>
      </c>
      <c r="B417">
        <v>1</v>
      </c>
      <c r="C417">
        <v>0</v>
      </c>
      <c r="D417">
        <v>1</v>
      </c>
      <c r="E417">
        <v>0</v>
      </c>
      <c r="F417">
        <v>1</v>
      </c>
      <c r="G417">
        <v>0.25</v>
      </c>
    </row>
    <row r="418" spans="1:7" x14ac:dyDescent="0.15">
      <c r="A418" t="str">
        <f>HYPERLINK("./new_k5/query_cmdrels_weight_analyze/0.1_0.5_0.4/ul_71465.xlsx","ul_71465")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HYPERLINK("./new_k5/query_cmdrels_weight_analyze/0.1_0.5_0.4/ul_7226.xlsx","ul_7226")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0.55555555555555547</v>
      </c>
      <c r="F419">
        <v>0.33333333333333331</v>
      </c>
      <c r="G419">
        <v>0.55555555555555547</v>
      </c>
    </row>
    <row r="420" spans="1:7" x14ac:dyDescent="0.15">
      <c r="A420" t="str">
        <f>HYPERLINK("./new_k5/query_cmdrels_weight_analyze/0.1_0.5_0.4/ul_78182.xlsx","ul_78182")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</v>
      </c>
    </row>
    <row r="421" spans="1:7" x14ac:dyDescent="0.15">
      <c r="A421" t="str">
        <f>HYPERLINK("./new_k5/query_cmdrels_weight_analyze/0.1_0.5_0.4/ul_79678.xlsx","ul_79678")</f>
        <v>ul_79678</v>
      </c>
      <c r="B421">
        <v>0</v>
      </c>
      <c r="C421">
        <v>0</v>
      </c>
      <c r="D421">
        <v>0.25</v>
      </c>
      <c r="E421">
        <v>0.25</v>
      </c>
      <c r="F421">
        <v>0.25</v>
      </c>
      <c r="G421">
        <v>0.25</v>
      </c>
    </row>
    <row r="422" spans="1:7" x14ac:dyDescent="0.15">
      <c r="A422" t="str">
        <f>HYPERLINK("./new_k5/query_cmdrels_weight_analyze/0.1_0.5_0.4/ul_79702.xlsx","ul_79702")</f>
        <v>ul_79702</v>
      </c>
      <c r="B422">
        <v>0</v>
      </c>
      <c r="C422">
        <v>0.33333333333333331</v>
      </c>
      <c r="D422">
        <v>0</v>
      </c>
      <c r="E422">
        <v>0.55555555555555547</v>
      </c>
      <c r="F422">
        <v>0</v>
      </c>
      <c r="G422">
        <v>0.75555555555555554</v>
      </c>
    </row>
    <row r="423" spans="1:7" x14ac:dyDescent="0.15">
      <c r="A423" t="str">
        <f>HYPERLINK("./new_k5/query_cmdrels_weight_analyze/0.1_0.5_0.4/ul_83593.xlsx","ul_83593")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HYPERLINK("./new_k5/query_cmdrels_weight_analyze/0.1_0.5_0.4/ul_84381.xlsx","ul_84381")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HYPERLINK("./new_k5/query_cmdrels_weight_analyze/0.1_0.5_0.4/ul_85180.xlsx","ul_85180")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0.27777777777777768</v>
      </c>
    </row>
    <row r="426" spans="1:7" x14ac:dyDescent="0.15">
      <c r="A426" t="str">
        <f>HYPERLINK("./new_k5/query_cmdrels_weight_analyze/0.1_0.5_0.4/ul_86071.xlsx","ul_86071")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HYPERLINK("./new_k5/query_cmdrels_weight_analyze/0.1_0.5_0.4/ul_86729.xlsx","ul_86729")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HYPERLINK("./new_k5/query_cmdrels_weight_analyze/0.1_0.5_0.4/ul_88824.xlsx","ul_88824")</f>
        <v>ul_88824</v>
      </c>
      <c r="B428">
        <v>0</v>
      </c>
      <c r="C428">
        <v>0</v>
      </c>
      <c r="D428">
        <v>0</v>
      </c>
      <c r="E428">
        <v>0.16666666666666671</v>
      </c>
      <c r="F428">
        <v>0</v>
      </c>
      <c r="G428">
        <v>0.33333333333333331</v>
      </c>
    </row>
    <row r="429" spans="1:7" x14ac:dyDescent="0.15">
      <c r="A429" t="str">
        <f>HYPERLINK("./new_k5/query_cmdrels_weight_analyze/0.1_0.5_0.4/ul_8945.xlsx","ul_8945")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HYPERLINK("./new_k5/query_cmdrels_weight_analyze/0.1_0.5_0.4/ul_89933.xlsx","ul_89933")</f>
        <v>ul_89933</v>
      </c>
      <c r="B430">
        <v>0.5</v>
      </c>
      <c r="C430">
        <v>0</v>
      </c>
      <c r="D430">
        <v>0.5</v>
      </c>
      <c r="E430">
        <v>0.25</v>
      </c>
      <c r="F430">
        <v>0.5</v>
      </c>
      <c r="G430">
        <v>0.25</v>
      </c>
    </row>
    <row r="431" spans="1:7" x14ac:dyDescent="0.15">
      <c r="A431" t="str">
        <f>HYPERLINK("./new_k5/query_cmdrels_weight_analyze/0.1_0.5_0.4/ul_91297.xlsx","ul_91297")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HYPERLINK("./new_k5/query_cmdrels_weight_analyze/0.1_0.5_0.4/ul_9252.xlsx","ul_9252")</f>
        <v>ul_9252</v>
      </c>
      <c r="B432">
        <v>0</v>
      </c>
      <c r="C432">
        <v>0</v>
      </c>
      <c r="D432">
        <v>0.23333333333333331</v>
      </c>
      <c r="E432">
        <v>6.6666666666666666E-2</v>
      </c>
      <c r="F432">
        <v>0.23333333333333331</v>
      </c>
      <c r="G432">
        <v>0.1466666666666667</v>
      </c>
    </row>
    <row r="433" spans="1:7" x14ac:dyDescent="0.15">
      <c r="A433" t="str">
        <f>HYPERLINK("./new_k5/query_cmdrels_weight_analyze/0.1_0.5_0.4/ul_92560.xlsx","ul_92560")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0.5</v>
      </c>
    </row>
    <row r="434" spans="1:7" x14ac:dyDescent="0.15">
      <c r="A434" t="str">
        <f>HYPERLINK("./new_k5/query_cmdrels_weight_analyze/0.1_0.5_0.4/ul_92799.xlsx","ul_92799")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0.27777777777777768</v>
      </c>
      <c r="F434">
        <v>0.53611111111111109</v>
      </c>
      <c r="G434">
        <v>0.53611111111111109</v>
      </c>
    </row>
    <row r="435" spans="1:7" x14ac:dyDescent="0.15">
      <c r="A435" t="str">
        <f>HYPERLINK("./new_k5/query_cmdrels_weight_analyze/0.1_0.5_0.4/ul_93139.xlsx","ul_93139")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HYPERLINK("./new_k5/query_cmdrels_weight_analyze/0.1_0.5_0.4/ul_98461.xlsx","ul_98461")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HYPERLINK("./new_k5/query_cmdrels_weight_analyze/0.1_0.6_0.3/au_102733.xlsx","au_102733")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HYPERLINK("./new_k5/query_cmdrels_weight_analyze/0.1_0.6_0.3/au_1029436.xlsx","au_1029436")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HYPERLINK("./new_k5/query_cmdrels_weight_analyze/0.1_0.6_0.3/au_1029502.xlsx","au_1029502")</f>
        <v>au_1029502</v>
      </c>
      <c r="B5">
        <v>0.25</v>
      </c>
      <c r="C5">
        <v>0.25</v>
      </c>
      <c r="D5">
        <v>0.25</v>
      </c>
      <c r="E5">
        <v>0.25</v>
      </c>
      <c r="F5">
        <v>0.375</v>
      </c>
      <c r="G5">
        <v>0.25</v>
      </c>
    </row>
    <row r="6" spans="1:7" x14ac:dyDescent="0.15">
      <c r="A6" t="str">
        <f>HYPERLINK("./new_k5/query_cmdrels_weight_analyze/0.1_0.6_0.3/au_1029531.xlsx","au_1029531")</f>
        <v>au_1029531</v>
      </c>
      <c r="B6">
        <v>0.33333333333333331</v>
      </c>
      <c r="C6">
        <v>0</v>
      </c>
      <c r="D6">
        <v>0.33333333333333331</v>
      </c>
      <c r="E6">
        <v>0</v>
      </c>
      <c r="F6">
        <v>0.46666666666666662</v>
      </c>
      <c r="G6">
        <v>0</v>
      </c>
    </row>
    <row r="7" spans="1:7" x14ac:dyDescent="0.15">
      <c r="A7" t="str">
        <f>HYPERLINK("./new_k5/query_cmdrels_weight_analyze/0.1_0.6_0.3/au_104542.xlsx","au_104542")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HYPERLINK("./new_k5/query_cmdrels_weight_analyze/0.1_0.6_0.3/au_109070.xlsx","au_109070")</f>
        <v>au_109070</v>
      </c>
      <c r="B8">
        <v>0</v>
      </c>
      <c r="C8">
        <v>0</v>
      </c>
      <c r="D8">
        <v>0.23333333333333331</v>
      </c>
      <c r="E8">
        <v>0</v>
      </c>
      <c r="F8">
        <v>0.3833333333333333</v>
      </c>
      <c r="G8">
        <v>0.04</v>
      </c>
    </row>
    <row r="9" spans="1:7" x14ac:dyDescent="0.15">
      <c r="A9" t="str">
        <f>HYPERLINK("./new_k5/query_cmdrels_weight_analyze/0.1_0.6_0.3/au_109381.xlsx","au_109381")</f>
        <v>au_109381</v>
      </c>
      <c r="B9">
        <v>0</v>
      </c>
      <c r="C9">
        <v>0.5</v>
      </c>
      <c r="D9">
        <v>0.25</v>
      </c>
      <c r="E9">
        <v>0.5</v>
      </c>
      <c r="F9">
        <v>0.25</v>
      </c>
      <c r="G9">
        <v>0.5</v>
      </c>
    </row>
    <row r="10" spans="1:7" x14ac:dyDescent="0.15">
      <c r="A10" t="str">
        <f>HYPERLINK("./new_k5/query_cmdrels_weight_analyze/0.1_0.6_0.3/au_110477.xlsx","au_110477")</f>
        <v>au_110477</v>
      </c>
      <c r="B10">
        <v>0.25</v>
      </c>
      <c r="C10">
        <v>0.25</v>
      </c>
      <c r="D10">
        <v>0.5</v>
      </c>
      <c r="E10">
        <v>0.41666666666666657</v>
      </c>
      <c r="F10">
        <v>0.5</v>
      </c>
      <c r="G10">
        <v>0.60416666666666663</v>
      </c>
    </row>
    <row r="11" spans="1:7" x14ac:dyDescent="0.15">
      <c r="A11" t="str">
        <f>HYPERLINK("./new_k5/query_cmdrels_weight_analyze/0.1_0.6_0.3/au_111678.xlsx","au_111678")</f>
        <v>au_111678</v>
      </c>
      <c r="B11">
        <v>0</v>
      </c>
      <c r="C11">
        <v>0</v>
      </c>
      <c r="D11">
        <v>0.1111111111111111</v>
      </c>
      <c r="E11">
        <v>0.1111111111111111</v>
      </c>
      <c r="F11">
        <v>0.1111111111111111</v>
      </c>
      <c r="G11">
        <v>0.1111111111111111</v>
      </c>
    </row>
    <row r="12" spans="1:7" x14ac:dyDescent="0.15">
      <c r="A12" t="str">
        <f>HYPERLINK("./new_k5/query_cmdrels_weight_analyze/0.1_0.6_0.3/au_112512.xlsx","au_112512")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HYPERLINK("./new_k5/query_cmdrels_weight_analyze/0.1_0.6_0.3/au_115369.xlsx","au_115369")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HYPERLINK("./new_k5/query_cmdrels_weight_analyze/0.1_0.6_0.3/au_11789.xlsx","au_11789")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HYPERLINK("./new_k5/query_cmdrels_weight_analyze/0.1_0.6_0.3/au_117950.xlsx","au_117950")</f>
        <v>au_117950</v>
      </c>
      <c r="B15">
        <v>0</v>
      </c>
      <c r="C15">
        <v>0</v>
      </c>
      <c r="D15">
        <v>0.16666666666666671</v>
      </c>
      <c r="E15">
        <v>0</v>
      </c>
      <c r="F15">
        <v>0.16666666666666671</v>
      </c>
      <c r="G15">
        <v>0.1</v>
      </c>
    </row>
    <row r="16" spans="1:7" x14ac:dyDescent="0.15">
      <c r="A16" t="str">
        <f>HYPERLINK("./new_k5/query_cmdrels_weight_analyze/0.1_0.6_0.3/au_122113.xlsx","au_122113")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HYPERLINK("./new_k5/query_cmdrels_weight_analyze/0.1_0.6_0.3/au_123798.xlsx","au_123798")</f>
        <v>au_123798</v>
      </c>
      <c r="B17">
        <v>0</v>
      </c>
      <c r="C17">
        <v>0</v>
      </c>
      <c r="D17">
        <v>5.5555555555555552E-2</v>
      </c>
      <c r="E17">
        <v>5.5555555555555552E-2</v>
      </c>
      <c r="F17">
        <v>0.23888888888888879</v>
      </c>
      <c r="G17">
        <v>0.23888888888888879</v>
      </c>
    </row>
    <row r="18" spans="1:7" x14ac:dyDescent="0.15">
      <c r="A18" t="str">
        <f>HYPERLINK("./new_k5/query_cmdrels_weight_analyze/0.1_0.6_0.3/au_125257.xlsx","au_125257")</f>
        <v>au_125257</v>
      </c>
      <c r="B18">
        <v>0.25</v>
      </c>
      <c r="C18">
        <v>0.25</v>
      </c>
      <c r="D18">
        <v>0.41666666666666657</v>
      </c>
      <c r="E18">
        <v>0.25</v>
      </c>
      <c r="F18">
        <v>0.56666666666666665</v>
      </c>
      <c r="G18">
        <v>0.375</v>
      </c>
    </row>
    <row r="19" spans="1:7" x14ac:dyDescent="0.15">
      <c r="A19" t="str">
        <f>HYPERLINK("./new_k5/query_cmdrels_weight_analyze/0.1_0.6_0.3/au_126153.xlsx","au_126153")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0.33333333333333331</v>
      </c>
      <c r="F19">
        <v>0.45833333333333331</v>
      </c>
      <c r="G19">
        <v>0.33333333333333331</v>
      </c>
    </row>
    <row r="20" spans="1:7" x14ac:dyDescent="0.15">
      <c r="A20" t="str">
        <f>HYPERLINK("./new_k5/query_cmdrels_weight_analyze/0.1_0.6_0.3/au_127326.xlsx","au_127326")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HYPERLINK("./new_k5/query_cmdrels_weight_analyze/0.1_0.6_0.3/au_128463.xlsx","au_128463")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HYPERLINK("./new_k5/query_cmdrels_weight_analyze/0.1_0.6_0.3/au_130393.xlsx","au_130393")</f>
        <v>au_130393</v>
      </c>
      <c r="B22">
        <v>0</v>
      </c>
      <c r="C22">
        <v>0.25</v>
      </c>
      <c r="D22">
        <v>0.125</v>
      </c>
      <c r="E22">
        <v>0.25</v>
      </c>
      <c r="F22">
        <v>0.125</v>
      </c>
      <c r="G22">
        <v>0.35</v>
      </c>
    </row>
    <row r="23" spans="1:7" x14ac:dyDescent="0.15">
      <c r="A23" t="str">
        <f>HYPERLINK("./new_k5/query_cmdrels_weight_analyze/0.1_0.6_0.3/au_131570.xlsx","au_131570")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HYPERLINK("./new_k5/query_cmdrels_weight_analyze/0.1_0.6_0.3/au_133318.xlsx","au_133318")</f>
        <v>au_133318</v>
      </c>
      <c r="B24">
        <v>0</v>
      </c>
      <c r="C24">
        <v>0.25</v>
      </c>
      <c r="D24">
        <v>0</v>
      </c>
      <c r="E24">
        <v>0.41666666666666657</v>
      </c>
      <c r="F24">
        <v>0</v>
      </c>
      <c r="G24">
        <v>0.41666666666666657</v>
      </c>
    </row>
    <row r="25" spans="1:7" x14ac:dyDescent="0.15">
      <c r="A25" t="str">
        <f>HYPERLINK("./new_k5/query_cmdrels_weight_analyze/0.1_0.6_0.3/au_133343.xlsx","au_133343")</f>
        <v>au_133343</v>
      </c>
      <c r="B25">
        <v>0</v>
      </c>
      <c r="C25">
        <v>0</v>
      </c>
      <c r="D25">
        <v>0</v>
      </c>
      <c r="E25">
        <v>0</v>
      </c>
      <c r="F25">
        <v>0</v>
      </c>
      <c r="G25">
        <v>8.3333333333333329E-2</v>
      </c>
    </row>
    <row r="26" spans="1:7" x14ac:dyDescent="0.15">
      <c r="A26" t="str">
        <f>HYPERLINK("./new_k5/query_cmdrels_weight_analyze/0.1_0.6_0.3/au_133389.xlsx","au_133389")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HYPERLINK("./new_k5/query_cmdrels_weight_analyze/0.1_0.6_0.3/au_141277.xlsx","au_141277")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HYPERLINK("./new_k5/query_cmdrels_weight_analyze/0.1_0.6_0.3/au_143819.xlsx","au_143819")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0.32380952380952382</v>
      </c>
    </row>
    <row r="29" spans="1:7" x14ac:dyDescent="0.15">
      <c r="A29" t="str">
        <f>HYPERLINK("./new_k5/query_cmdrels_weight_analyze/0.1_0.6_0.3/au_145935.xlsx","au_145935")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HYPERLINK("./new_k5/query_cmdrels_weight_analyze/0.1_0.6_0.3/au_147241.xlsx","au_147241")</f>
        <v>au_147241</v>
      </c>
      <c r="B30">
        <v>0</v>
      </c>
      <c r="C30">
        <v>0</v>
      </c>
      <c r="D30">
        <v>0.29166666666666657</v>
      </c>
      <c r="E30">
        <v>8.3333333333333329E-2</v>
      </c>
      <c r="F30">
        <v>0.29166666666666657</v>
      </c>
      <c r="G30">
        <v>0.18333333333333329</v>
      </c>
    </row>
    <row r="31" spans="1:7" x14ac:dyDescent="0.15">
      <c r="A31" t="str">
        <f>HYPERLINK("./new_k5/query_cmdrels_weight_analyze/0.1_0.6_0.3/au_147800.xlsx","au_147800")</f>
        <v>au_147800</v>
      </c>
      <c r="B31">
        <v>0</v>
      </c>
      <c r="C31">
        <v>0</v>
      </c>
      <c r="D31">
        <v>0.1111111111111111</v>
      </c>
      <c r="E31">
        <v>0.1111111111111111</v>
      </c>
      <c r="F31">
        <v>0.1111111111111111</v>
      </c>
      <c r="G31">
        <v>0.1111111111111111</v>
      </c>
    </row>
    <row r="32" spans="1:7" x14ac:dyDescent="0.15">
      <c r="A32" t="str">
        <f>HYPERLINK("./new_k5/query_cmdrels_weight_analyze/0.1_0.6_0.3/au_148321.xlsx","au_148321")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0.33333333333333331</v>
      </c>
      <c r="F32">
        <v>0.16666666666666671</v>
      </c>
      <c r="G32">
        <v>0.33333333333333331</v>
      </c>
    </row>
    <row r="33" spans="1:7" x14ac:dyDescent="0.15">
      <c r="A33" t="str">
        <f>HYPERLINK("./new_k5/query_cmdrels_weight_analyze/0.1_0.6_0.3/au_148638.xlsx","au_148638")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HYPERLINK("./new_k5/query_cmdrels_weight_analyze/0.1_0.6_0.3/au_151049.xlsx","au_151049")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HYPERLINK("./new_k5/query_cmdrels_weight_analyze/0.1_0.6_0.3/au_151941.xlsx","au_151941")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HYPERLINK("./new_k5/query_cmdrels_weight_analyze/0.1_0.6_0.3/au_152297.xlsx","au_152297")</f>
        <v>au_152297</v>
      </c>
      <c r="B36">
        <v>0</v>
      </c>
      <c r="C36">
        <v>0</v>
      </c>
      <c r="D36">
        <v>7.1428571428571425E-2</v>
      </c>
      <c r="E36">
        <v>0.16666666666666671</v>
      </c>
      <c r="F36">
        <v>7.1428571428571425E-2</v>
      </c>
      <c r="G36">
        <v>0.25238095238095237</v>
      </c>
    </row>
    <row r="37" spans="1:7" x14ac:dyDescent="0.15">
      <c r="A37" t="str">
        <f>HYPERLINK("./new_k5/query_cmdrels_weight_analyze/0.1_0.6_0.3/au_153976.xlsx","au_153976")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0.27777777777777768</v>
      </c>
      <c r="F37">
        <v>0.33333333333333331</v>
      </c>
      <c r="G37">
        <v>0.37777777777777782</v>
      </c>
    </row>
    <row r="38" spans="1:7" x14ac:dyDescent="0.15">
      <c r="A38" t="str">
        <f>HYPERLINK("./new_k5/query_cmdrels_weight_analyze/0.1_0.6_0.3/au_154431.xlsx","au_154431")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HYPERLINK("./new_k5/query_cmdrels_weight_analyze/0.1_0.6_0.3/au_159708.xlsx","au_159708")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0.55555555555555547</v>
      </c>
      <c r="F39">
        <v>0.33333333333333331</v>
      </c>
      <c r="G39">
        <v>0.55555555555555547</v>
      </c>
    </row>
    <row r="40" spans="1:7" x14ac:dyDescent="0.15">
      <c r="A40" t="str">
        <f>HYPERLINK("./new_k5/query_cmdrels_weight_analyze/0.1_0.6_0.3/au_160869.xlsx","au_160869")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HYPERLINK("./new_k5/query_cmdrels_weight_analyze/0.1_0.6_0.3/au_161313.xlsx","au_161313")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0.125</v>
      </c>
    </row>
    <row r="42" spans="1:7" x14ac:dyDescent="0.15">
      <c r="A42" t="str">
        <f>HYPERLINK("./new_k5/query_cmdrels_weight_analyze/0.1_0.6_0.3/au_162075.xlsx","au_162075")</f>
        <v>au_162075</v>
      </c>
      <c r="B42">
        <v>0.25</v>
      </c>
      <c r="C42">
        <v>0</v>
      </c>
      <c r="D42">
        <v>0.5</v>
      </c>
      <c r="E42">
        <v>8.3333333333333329E-2</v>
      </c>
      <c r="F42">
        <v>0.5</v>
      </c>
      <c r="G42">
        <v>0.20833333333333329</v>
      </c>
    </row>
    <row r="43" spans="1:7" x14ac:dyDescent="0.15">
      <c r="A43" t="str">
        <f>HYPERLINK("./new_k5/query_cmdrels_weight_analyze/0.1_0.6_0.3/au_16277.xlsx","au_16277")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0.83333333333333337</v>
      </c>
    </row>
    <row r="44" spans="1:7" x14ac:dyDescent="0.15">
      <c r="A44" t="str">
        <f>HYPERLINK("./new_k5/query_cmdrels_weight_analyze/0.1_0.6_0.3/au_163155.xlsx","au_163155")</f>
        <v>au_163155</v>
      </c>
      <c r="B44">
        <v>0.125</v>
      </c>
      <c r="C44">
        <v>0.125</v>
      </c>
      <c r="D44">
        <v>0.375</v>
      </c>
      <c r="E44">
        <v>0.20833333333333329</v>
      </c>
      <c r="F44">
        <v>0.5</v>
      </c>
      <c r="G44">
        <v>0.30208333333333331</v>
      </c>
    </row>
    <row r="45" spans="1:7" x14ac:dyDescent="0.15">
      <c r="A45" t="str">
        <f>HYPERLINK("./new_k5/query_cmdrels_weight_analyze/0.1_0.6_0.3/au_164473.xlsx","au_164473")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HYPERLINK("./new_k5/query_cmdrels_weight_analyze/0.1_0.6_0.3/au_16584.xlsx","au_16584")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0.15151515151515149</v>
      </c>
      <c r="F46">
        <v>0.13636363636363641</v>
      </c>
      <c r="G46">
        <v>0.2196969696969697</v>
      </c>
    </row>
    <row r="47" spans="1:7" x14ac:dyDescent="0.15">
      <c r="A47" t="str">
        <f>HYPERLINK("./new_k5/query_cmdrels_weight_analyze/0.1_0.6_0.3/au_166420.xlsx","au_166420")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HYPERLINK("./new_k5/query_cmdrels_weight_analyze/0.1_0.6_0.3/au_169473.xlsx","au_169473")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0.33333333333333331</v>
      </c>
      <c r="F48">
        <v>0.43333333333333329</v>
      </c>
      <c r="G48">
        <v>0.33333333333333331</v>
      </c>
    </row>
    <row r="49" spans="1:7" x14ac:dyDescent="0.15">
      <c r="A49" t="str">
        <f>HYPERLINK("./new_k5/query_cmdrels_weight_analyze/0.1_0.6_0.3/au_169516.xlsx","au_169516")</f>
        <v>au_169516</v>
      </c>
      <c r="B49">
        <v>0.25</v>
      </c>
      <c r="C49">
        <v>0.25</v>
      </c>
      <c r="D49">
        <v>0.25</v>
      </c>
      <c r="E49">
        <v>0.5</v>
      </c>
      <c r="F49">
        <v>0.25</v>
      </c>
      <c r="G49">
        <v>0.5</v>
      </c>
    </row>
    <row r="50" spans="1:7" x14ac:dyDescent="0.15">
      <c r="A50" t="str">
        <f>HYPERLINK("./new_k5/query_cmdrels_weight_analyze/0.1_0.6_0.3/au_174292.xlsx","au_174292")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HYPERLINK("./new_k5/query_cmdrels_weight_analyze/0.1_0.6_0.3/au_178481.xlsx","au_178481")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HYPERLINK("./new_k5/query_cmdrels_weight_analyze/0.1_0.6_0.3/au_180925.xlsx","au_180925")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HYPERLINK("./new_k5/query_cmdrels_weight_analyze/0.1_0.6_0.3/au_187888.xlsx","au_187888")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HYPERLINK("./new_k5/query_cmdrels_weight_analyze/0.1_0.6_0.3/au_191390.xlsx","au_191390")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HYPERLINK("./new_k5/query_cmdrels_weight_analyze/0.1_0.6_0.3/au_192798.xlsx","au_192798")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HYPERLINK("./new_k5/query_cmdrels_weight_analyze/0.1_0.6_0.3/au_201775.xlsx","au_201775")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0.33333333333333331</v>
      </c>
      <c r="F56">
        <v>0.66666666666666663</v>
      </c>
      <c r="G56">
        <v>0.70000000000000007</v>
      </c>
    </row>
    <row r="57" spans="1:7" x14ac:dyDescent="0.15">
      <c r="A57" t="str">
        <f>HYPERLINK("./new_k5/query_cmdrels_weight_analyze/0.1_0.6_0.3/au_204166.xlsx","au_204166")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HYPERLINK("./new_k5/query_cmdrels_weight_analyze/0.1_0.6_0.3/au_207447.xlsx","au_207447")</f>
        <v>au_207447</v>
      </c>
      <c r="B58">
        <v>0.33333333333333331</v>
      </c>
      <c r="C58">
        <v>0</v>
      </c>
      <c r="D58">
        <v>0.33333333333333331</v>
      </c>
      <c r="E58">
        <v>0</v>
      </c>
      <c r="F58">
        <v>0.33333333333333331</v>
      </c>
      <c r="G58">
        <v>0</v>
      </c>
    </row>
    <row r="59" spans="1:7" x14ac:dyDescent="0.15">
      <c r="A59" t="str">
        <f>HYPERLINK("./new_k5/query_cmdrels_weight_analyze/0.1_0.6_0.3/au_210680.xlsx","au_210680")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HYPERLINK("./new_k5/query_cmdrels_weight_analyze/0.1_0.6_0.3/au_214246.xlsx","au_214246")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0.4</v>
      </c>
    </row>
    <row r="61" spans="1:7" x14ac:dyDescent="0.15">
      <c r="A61" t="str">
        <f>HYPERLINK("./new_k5/query_cmdrels_weight_analyze/0.1_0.6_0.3/au_214643.xlsx","au_214643")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HYPERLINK("./new_k5/query_cmdrels_weight_analyze/0.1_0.6_0.3/au_2194.xlsx","au_2194")</f>
        <v>au_2194</v>
      </c>
      <c r="B62">
        <v>0</v>
      </c>
      <c r="C62">
        <v>0</v>
      </c>
      <c r="D62">
        <v>4.7619047619047623E-2</v>
      </c>
      <c r="E62">
        <v>7.1428571428571425E-2</v>
      </c>
      <c r="F62">
        <v>0.119047619047619</v>
      </c>
      <c r="G62">
        <v>0.22857142857142859</v>
      </c>
    </row>
    <row r="63" spans="1:7" x14ac:dyDescent="0.15">
      <c r="A63" t="str">
        <f>HYPERLINK("./new_k5/query_cmdrels_weight_analyze/0.1_0.6_0.3/au_221962.xlsx","au_221962")</f>
        <v>au_221962</v>
      </c>
      <c r="B63">
        <v>0</v>
      </c>
      <c r="C63">
        <v>0</v>
      </c>
      <c r="D63">
        <v>5.5555555555555552E-2</v>
      </c>
      <c r="E63">
        <v>8.3333333333333329E-2</v>
      </c>
      <c r="F63">
        <v>0.1388888888888889</v>
      </c>
      <c r="G63">
        <v>0.26666666666666672</v>
      </c>
    </row>
    <row r="64" spans="1:7" x14ac:dyDescent="0.15">
      <c r="A64" t="str">
        <f>HYPERLINK("./new_k5/query_cmdrels_weight_analyze/0.1_0.6_0.3/au_22608.xlsx","au_22608")</f>
        <v>au_22608</v>
      </c>
      <c r="B64">
        <v>0.33333333333333331</v>
      </c>
      <c r="C64">
        <v>0.33333333333333331</v>
      </c>
      <c r="D64">
        <v>0.33333333333333331</v>
      </c>
      <c r="E64">
        <v>0.33333333333333331</v>
      </c>
      <c r="F64">
        <v>0.33333333333333331</v>
      </c>
      <c r="G64">
        <v>0.5</v>
      </c>
    </row>
    <row r="65" spans="1:7" x14ac:dyDescent="0.15">
      <c r="A65" t="str">
        <f>HYPERLINK("./new_k5/query_cmdrels_weight_analyze/0.1_0.6_0.3/au_230698.xlsx","au_230698")</f>
        <v>au_230698</v>
      </c>
      <c r="B65">
        <v>0.125</v>
      </c>
      <c r="C65">
        <v>0.125</v>
      </c>
      <c r="D65">
        <v>0.25</v>
      </c>
      <c r="E65">
        <v>0.25</v>
      </c>
      <c r="F65">
        <v>0.32500000000000001</v>
      </c>
      <c r="G65">
        <v>0.34375</v>
      </c>
    </row>
    <row r="66" spans="1:7" x14ac:dyDescent="0.15">
      <c r="A66" t="str">
        <f>HYPERLINK("./new_k5/query_cmdrels_weight_analyze/0.1_0.6_0.3/au_232442.xlsx","au_232442")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HYPERLINK("./new_k5/query_cmdrels_weight_analyze/0.1_0.6_0.3/au_233378.xlsx","au_233378")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HYPERLINK("./new_k5/query_cmdrels_weight_analyze/0.1_0.6_0.3/au_24027.xlsx","au_24027")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HYPERLINK("./new_k5/query_cmdrels_weight_analyze/0.1_0.6_0.3/au_246647.xlsx","au_246647")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HYPERLINK("./new_k5/query_cmdrels_weight_analyze/0.1_0.6_0.3/au_254424.xlsx","au_254424")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6.25E-2</v>
      </c>
    </row>
    <row r="71" spans="1:7" x14ac:dyDescent="0.15">
      <c r="A71" t="str">
        <f>HYPERLINK("./new_k5/query_cmdrels_weight_analyze/0.1_0.6_0.3/au_255890.xlsx","au_255890")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HYPERLINK("./new_k5/query_cmdrels_weight_analyze/0.1_0.6_0.3/au_257248.xlsx","au_257248")</f>
        <v>au_257248</v>
      </c>
      <c r="B72">
        <v>0</v>
      </c>
      <c r="C72">
        <v>0.14285714285714279</v>
      </c>
      <c r="D72">
        <v>0.16666666666666671</v>
      </c>
      <c r="E72">
        <v>0.14285714285714279</v>
      </c>
      <c r="F72">
        <v>0.25238095238095237</v>
      </c>
      <c r="G72">
        <v>0.2142857142857143</v>
      </c>
    </row>
    <row r="73" spans="1:7" x14ac:dyDescent="0.15">
      <c r="A73" t="str">
        <f>HYPERLINK("./new_k5/query_cmdrels_weight_analyze/0.1_0.6_0.3/au_259354.xlsx","au_259354")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0.42857142857142849</v>
      </c>
    </row>
    <row r="74" spans="1:7" x14ac:dyDescent="0.15">
      <c r="A74" t="str">
        <f>HYPERLINK("./new_k5/query_cmdrels_weight_analyze/0.1_0.6_0.3/au_263378.xlsx","au_263378")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0.5</v>
      </c>
    </row>
    <row r="75" spans="1:7" x14ac:dyDescent="0.15">
      <c r="A75" t="str">
        <f>HYPERLINK("./new_k5/query_cmdrels_weight_analyze/0.1_0.6_0.3/au_264215.xlsx","au_264215")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HYPERLINK("./new_k5/query_cmdrels_weight_analyze/0.1_0.6_0.3/au_265176.xlsx","au_265176")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HYPERLINK("./new_k5/query_cmdrels_weight_analyze/0.1_0.6_0.3/au_275704.xlsx","au_275704")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HYPERLINK("./new_k5/query_cmdrels_weight_analyze/0.1_0.6_0.3/au_276669.xlsx","au_276669")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HYPERLINK("./new_k5/query_cmdrels_weight_analyze/0.1_0.6_0.3/au_277565.xlsx","au_277565")</f>
        <v>au_277565</v>
      </c>
      <c r="B79">
        <v>0.5</v>
      </c>
      <c r="C79">
        <v>0.5</v>
      </c>
      <c r="D79">
        <v>0.5</v>
      </c>
      <c r="E79">
        <v>0.5</v>
      </c>
      <c r="F79">
        <v>0.5</v>
      </c>
      <c r="G79">
        <v>0.5</v>
      </c>
    </row>
    <row r="80" spans="1:7" x14ac:dyDescent="0.15">
      <c r="A80" t="str">
        <f>HYPERLINK("./new_k5/query_cmdrels_weight_analyze/0.1_0.6_0.3/au_278403.xlsx","au_278403")</f>
        <v>au_278403</v>
      </c>
      <c r="B80">
        <v>0</v>
      </c>
      <c r="C80">
        <v>0</v>
      </c>
      <c r="D80">
        <v>8.3333333333333329E-2</v>
      </c>
      <c r="E80">
        <v>8.3333333333333329E-2</v>
      </c>
      <c r="F80">
        <v>0.20833333333333329</v>
      </c>
      <c r="G80">
        <v>0.18333333333333329</v>
      </c>
    </row>
    <row r="81" spans="1:7" x14ac:dyDescent="0.15">
      <c r="A81" t="str">
        <f>HYPERLINK("./new_k5/query_cmdrels_weight_analyze/0.1_0.6_0.3/au_28039.xlsx","au_28039")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15">
      <c r="A82" t="str">
        <f>HYPERLINK("./new_k5/query_cmdrels_weight_analyze/0.1_0.6_0.3/au_281509.xlsx","au_281509")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0.33333333333333331</v>
      </c>
      <c r="F82">
        <v>0.55555555555555547</v>
      </c>
      <c r="G82">
        <v>0.5</v>
      </c>
    </row>
    <row r="83" spans="1:7" x14ac:dyDescent="0.15">
      <c r="A83" t="str">
        <f>HYPERLINK("./new_k5/query_cmdrels_weight_analyze/0.1_0.6_0.3/au_282806.xlsx","au_282806")</f>
        <v>au_282806</v>
      </c>
      <c r="B83">
        <v>0</v>
      </c>
      <c r="C83">
        <v>0.33333333333333331</v>
      </c>
      <c r="D83">
        <v>0.38888888888888878</v>
      </c>
      <c r="E83">
        <v>0.55555555555555547</v>
      </c>
      <c r="F83">
        <v>0.38888888888888878</v>
      </c>
      <c r="G83">
        <v>0.80555555555555547</v>
      </c>
    </row>
    <row r="84" spans="1:7" x14ac:dyDescent="0.15">
      <c r="A84" t="str">
        <f>HYPERLINK("./new_k5/query_cmdrels_weight_analyze/0.1_0.6_0.3/au_283559.xlsx","au_283559")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HYPERLINK("./new_k5/query_cmdrels_weight_analyze/0.1_0.6_0.3/au_285539.xlsx","au_285539")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HYPERLINK("./new_k5/query_cmdrels_weight_analyze/0.1_0.6_0.3/au_287532.xlsx","au_287532")</f>
        <v>au_287532</v>
      </c>
      <c r="B86">
        <v>0</v>
      </c>
      <c r="C86">
        <v>0.25</v>
      </c>
      <c r="D86">
        <v>0</v>
      </c>
      <c r="E86">
        <v>0.25</v>
      </c>
      <c r="F86">
        <v>0</v>
      </c>
      <c r="G86">
        <v>0.25</v>
      </c>
    </row>
    <row r="87" spans="1:7" x14ac:dyDescent="0.15">
      <c r="A87" t="str">
        <f>HYPERLINK("./new_k5/query_cmdrels_weight_analyze/0.1_0.6_0.3/au_294257.xlsx","au_294257")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0.42857142857142849</v>
      </c>
      <c r="F87">
        <v>0.7142857142857143</v>
      </c>
      <c r="G87">
        <v>0.5714285714285714</v>
      </c>
    </row>
    <row r="88" spans="1:7" x14ac:dyDescent="0.15">
      <c r="A88" t="str">
        <f>HYPERLINK("./new_k5/query_cmdrels_weight_analyze/0.1_0.6_0.3/au_296155.xlsx","au_296155")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HYPERLINK("./new_k5/query_cmdrels_weight_analyze/0.1_0.6_0.3/au_299975.xlsx","au_299975")</f>
        <v>au_299975</v>
      </c>
      <c r="B89">
        <v>0.25</v>
      </c>
      <c r="C89">
        <v>0</v>
      </c>
      <c r="D89">
        <v>0.5</v>
      </c>
      <c r="E89">
        <v>0</v>
      </c>
      <c r="F89">
        <v>0.6875</v>
      </c>
      <c r="G89">
        <v>6.25E-2</v>
      </c>
    </row>
    <row r="90" spans="1:7" x14ac:dyDescent="0.15">
      <c r="A90" t="str">
        <f>HYPERLINK("./new_k5/query_cmdrels_weight_analyze/0.1_0.6_0.3/au_301096.xlsx","au_301096")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HYPERLINK("./new_k5/query_cmdrels_weight_analyze/0.1_0.6_0.3/au_303593.xlsx","au_303593")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HYPERLINK("./new_k5/query_cmdrels_weight_analyze/0.1_0.6_0.3/au_303849.xlsx","au_303849")</f>
        <v>au_303849</v>
      </c>
      <c r="B92">
        <v>0.1111111111111111</v>
      </c>
      <c r="C92">
        <v>0</v>
      </c>
      <c r="D92">
        <v>0.1111111111111111</v>
      </c>
      <c r="E92">
        <v>3.7037037037037028E-2</v>
      </c>
      <c r="F92">
        <v>0.1111111111111111</v>
      </c>
      <c r="G92">
        <v>3.7037037037037028E-2</v>
      </c>
    </row>
    <row r="93" spans="1:7" x14ac:dyDescent="0.15">
      <c r="A93" t="str">
        <f>HYPERLINK("./new_k5/query_cmdrels_weight_analyze/0.1_0.6_0.3/au_307541.xlsx","au_307541")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HYPERLINK("./new_k5/query_cmdrels_weight_analyze/0.1_0.6_0.3/au_307688.xlsx","au_307688")</f>
        <v>au_307688</v>
      </c>
      <c r="B94">
        <v>0.2</v>
      </c>
      <c r="C94">
        <v>0.2</v>
      </c>
      <c r="D94">
        <v>0.33333333333333331</v>
      </c>
      <c r="E94">
        <v>0.4</v>
      </c>
      <c r="F94">
        <v>0.33333333333333331</v>
      </c>
      <c r="G94">
        <v>0.4</v>
      </c>
    </row>
    <row r="95" spans="1:7" x14ac:dyDescent="0.15">
      <c r="A95" t="str">
        <f>HYPERLINK("./new_k5/query_cmdrels_weight_analyze/0.1_0.6_0.3/au_309047.xlsx","au_309047")</f>
        <v>au_309047</v>
      </c>
      <c r="B95">
        <v>0.25</v>
      </c>
      <c r="C95">
        <v>0.25</v>
      </c>
      <c r="D95">
        <v>0.25</v>
      </c>
      <c r="E95">
        <v>0.41666666666666657</v>
      </c>
      <c r="F95">
        <v>0.25</v>
      </c>
      <c r="G95">
        <v>0.41666666666666657</v>
      </c>
    </row>
    <row r="96" spans="1:7" x14ac:dyDescent="0.15">
      <c r="A96" t="str">
        <f>HYPERLINK("./new_k5/query_cmdrels_weight_analyze/0.1_0.6_0.3/au_311558.xlsx","au_311558")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0.41666666666666657</v>
      </c>
    </row>
    <row r="97" spans="1:7" x14ac:dyDescent="0.15">
      <c r="A97" t="str">
        <f>HYPERLINK("./new_k5/query_cmdrels_weight_analyze/0.1_0.6_0.3/au_318973.xlsx","au_318973")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HYPERLINK("./new_k5/query_cmdrels_weight_analyze/0.1_0.6_0.3/au_3205.xlsx","au_3205")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HYPERLINK("./new_k5/query_cmdrels_weight_analyze/0.1_0.6_0.3/au_323131.xlsx","au_323131")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HYPERLINK("./new_k5/query_cmdrels_weight_analyze/0.1_0.6_0.3/au_323392.xlsx","au_323392")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0.5</v>
      </c>
    </row>
    <row r="101" spans="1:7" x14ac:dyDescent="0.15">
      <c r="A101" t="str">
        <f>HYPERLINK("./new_k5/query_cmdrels_weight_analyze/0.1_0.6_0.3/au_325368.xlsx","au_325368")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HYPERLINK("./new_k5/query_cmdrels_weight_analyze/0.1_0.6_0.3/au_328162.xlsx","au_328162")</f>
        <v>au_328162</v>
      </c>
      <c r="B102">
        <v>0.33333333333333331</v>
      </c>
      <c r="C102">
        <v>0.33333333333333331</v>
      </c>
      <c r="D102">
        <v>1</v>
      </c>
      <c r="E102">
        <v>0.66666666666666663</v>
      </c>
      <c r="F102">
        <v>1</v>
      </c>
      <c r="G102">
        <v>0.66666666666666663</v>
      </c>
    </row>
    <row r="103" spans="1:7" x14ac:dyDescent="0.15">
      <c r="A103" t="str">
        <f>HYPERLINK("./new_k5/query_cmdrels_weight_analyze/0.1_0.6_0.3/au_330148.xlsx","au_330148")</f>
        <v>au_330148</v>
      </c>
      <c r="B103">
        <v>0</v>
      </c>
      <c r="C103">
        <v>0.2</v>
      </c>
      <c r="D103">
        <v>0.23333333333333331</v>
      </c>
      <c r="E103">
        <v>0.33333333333333331</v>
      </c>
      <c r="F103">
        <v>0.54333333333333333</v>
      </c>
      <c r="G103">
        <v>0.33333333333333331</v>
      </c>
    </row>
    <row r="104" spans="1:7" x14ac:dyDescent="0.15">
      <c r="A104" t="str">
        <f>HYPERLINK("./new_k5/query_cmdrels_weight_analyze/0.1_0.6_0.3/au_332315.xlsx","au_332315")</f>
        <v>au_332315</v>
      </c>
      <c r="B104">
        <v>0.33333333333333331</v>
      </c>
      <c r="C104">
        <v>0.33333333333333331</v>
      </c>
      <c r="D104">
        <v>0.55555555555555547</v>
      </c>
      <c r="E104">
        <v>0.33333333333333331</v>
      </c>
      <c r="F104">
        <v>0.75555555555555554</v>
      </c>
      <c r="G104">
        <v>0.33333333333333331</v>
      </c>
    </row>
    <row r="105" spans="1:7" x14ac:dyDescent="0.15">
      <c r="A105" t="str">
        <f>HYPERLINK("./new_k5/query_cmdrels_weight_analyze/0.1_0.6_0.3/au_334081.xlsx","au_334081")</f>
        <v>au_334081</v>
      </c>
      <c r="B105">
        <v>0.25</v>
      </c>
      <c r="C105">
        <v>0.25</v>
      </c>
      <c r="D105">
        <v>0.41666666666666657</v>
      </c>
      <c r="E105">
        <v>0.5</v>
      </c>
      <c r="F105">
        <v>0.41666666666666657</v>
      </c>
      <c r="G105">
        <v>0.6875</v>
      </c>
    </row>
    <row r="106" spans="1:7" x14ac:dyDescent="0.15">
      <c r="A106" t="str">
        <f>HYPERLINK("./new_k5/query_cmdrels_weight_analyze/0.1_0.6_0.3/au_34077.xlsx","au_34077")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0.5</v>
      </c>
      <c r="F106">
        <v>0.33333333333333331</v>
      </c>
      <c r="G106">
        <v>0.6333333333333333</v>
      </c>
    </row>
    <row r="107" spans="1:7" x14ac:dyDescent="0.15">
      <c r="A107" t="str">
        <f>HYPERLINK("./new_k5/query_cmdrels_weight_analyze/0.1_0.6_0.3/au_341428.xlsx","au_341428")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HYPERLINK("./new_k5/query_cmdrels_weight_analyze/0.1_0.6_0.3/au_341584.xlsx","au_341584")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HYPERLINK("./new_k5/query_cmdrels_weight_analyze/0.1_0.6_0.3/au_346864.xlsx","au_346864")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0.14285714285714279</v>
      </c>
      <c r="F109">
        <v>0.23809523809523811</v>
      </c>
      <c r="G109">
        <v>0.2142857142857143</v>
      </c>
    </row>
    <row r="110" spans="1:7" x14ac:dyDescent="0.15">
      <c r="A110" t="str">
        <f>HYPERLINK("./new_k5/query_cmdrels_weight_analyze/0.1_0.6_0.3/au_351765.xlsx","au_351765")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0.5</v>
      </c>
    </row>
    <row r="111" spans="1:7" x14ac:dyDescent="0.15">
      <c r="A111" t="str">
        <f>HYPERLINK("./new_k5/query_cmdrels_weight_analyze/0.1_0.6_0.3/au_35922.xlsx","au_35922")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HYPERLINK("./new_k5/query_cmdrels_weight_analyze/0.1_0.6_0.3/au_359856.xlsx","au_359856")</f>
        <v>au_359856</v>
      </c>
      <c r="B112">
        <v>0.25</v>
      </c>
      <c r="C112">
        <v>0.25</v>
      </c>
      <c r="D112">
        <v>0.75</v>
      </c>
      <c r="E112">
        <v>0.5</v>
      </c>
      <c r="F112">
        <v>0.95</v>
      </c>
      <c r="G112">
        <v>0.5</v>
      </c>
    </row>
    <row r="113" spans="1:7" x14ac:dyDescent="0.15">
      <c r="A113" t="str">
        <f>HYPERLINK("./new_k5/query_cmdrels_weight_analyze/0.1_0.6_0.3/au_360423.xlsx","au_360423")</f>
        <v>au_360423</v>
      </c>
      <c r="B113">
        <v>0</v>
      </c>
      <c r="C113">
        <v>0</v>
      </c>
      <c r="D113">
        <v>0</v>
      </c>
      <c r="E113">
        <v>0.25</v>
      </c>
      <c r="F113">
        <v>0</v>
      </c>
      <c r="G113">
        <v>0.25</v>
      </c>
    </row>
    <row r="114" spans="1:7" x14ac:dyDescent="0.15">
      <c r="A114" t="str">
        <f>HYPERLINK("./new_k5/query_cmdrels_weight_analyze/0.1_0.6_0.3/au_36287.xlsx","au_36287")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HYPERLINK("./new_k5/query_cmdrels_weight_analyze/0.1_0.6_0.3/au_366742.xlsx","au_366742")</f>
        <v>au_366742</v>
      </c>
      <c r="B115">
        <v>0</v>
      </c>
      <c r="C115">
        <v>0</v>
      </c>
      <c r="D115">
        <v>0</v>
      </c>
      <c r="E115">
        <v>8.3333333333333329E-2</v>
      </c>
      <c r="F115">
        <v>0</v>
      </c>
      <c r="G115">
        <v>8.3333333333333329E-2</v>
      </c>
    </row>
    <row r="116" spans="1:7" x14ac:dyDescent="0.15">
      <c r="A116" t="str">
        <f>HYPERLINK("./new_k5/query_cmdrels_weight_analyze/0.1_0.6_0.3/au_377937.xlsx","au_377937")</f>
        <v>au_377937</v>
      </c>
      <c r="B116">
        <v>0.25</v>
      </c>
      <c r="C116">
        <v>0.25</v>
      </c>
      <c r="D116">
        <v>0.5</v>
      </c>
      <c r="E116">
        <v>0.5</v>
      </c>
      <c r="F116">
        <v>0.5</v>
      </c>
      <c r="G116">
        <v>0.5</v>
      </c>
    </row>
    <row r="117" spans="1:7" x14ac:dyDescent="0.15">
      <c r="A117" t="str">
        <f>HYPERLINK("./new_k5/query_cmdrels_weight_analyze/0.1_0.6_0.3/au_383997.xlsx","au_383997")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0.37142857142857139</v>
      </c>
    </row>
    <row r="118" spans="1:7" x14ac:dyDescent="0.15">
      <c r="A118" t="str">
        <f>HYPERLINK("./new_k5/query_cmdrels_weight_analyze/0.1_0.6_0.3/au_3883.xlsx","au_3883")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0.35</v>
      </c>
    </row>
    <row r="119" spans="1:7" x14ac:dyDescent="0.15">
      <c r="A119" t="str">
        <f>HYPERLINK("./new_k5/query_cmdrels_weight_analyze/0.1_0.6_0.3/au_396883.xlsx","au_396883")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HYPERLINK("./new_k5/query_cmdrels_weight_analyze/0.1_0.6_0.3/au_39760.xlsx","au_39760")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HYPERLINK("./new_k5/query_cmdrels_weight_analyze/0.1_0.6_0.3/au_398818.xlsx","au_398818")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HYPERLINK("./new_k5/query_cmdrels_weight_analyze/0.1_0.6_0.3/au_400807.xlsx","au_400807")</f>
        <v>au_400807</v>
      </c>
      <c r="B122">
        <v>0</v>
      </c>
      <c r="C122">
        <v>0.33333333333333331</v>
      </c>
      <c r="D122">
        <v>0.16666666666666671</v>
      </c>
      <c r="E122">
        <v>0.55555555555555547</v>
      </c>
      <c r="F122">
        <v>0.16666666666666671</v>
      </c>
      <c r="G122">
        <v>0.55555555555555547</v>
      </c>
    </row>
    <row r="123" spans="1:7" x14ac:dyDescent="0.15">
      <c r="A123" t="str">
        <f>HYPERLINK("./new_k5/query_cmdrels_weight_analyze/0.1_0.6_0.3/au_408611.xlsx","au_408611")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HYPERLINK("./new_k5/query_cmdrels_weight_analyze/0.1_0.6_0.3/au_414737.xlsx","au_414737")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HYPERLINK("./new_k5/query_cmdrels_weight_analyze/0.1_0.6_0.3/au_420722.xlsx","au_420722")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HYPERLINK("./new_k5/query_cmdrels_weight_analyze/0.1_0.6_0.3/au_423942.xlsx","au_423942")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HYPERLINK("./new_k5/query_cmdrels_weight_analyze/0.1_0.6_0.3/au_430382.xlsx","au_430382")</f>
        <v>au_430382</v>
      </c>
      <c r="B127">
        <v>0</v>
      </c>
      <c r="C127">
        <v>0</v>
      </c>
      <c r="D127">
        <v>0.29166666666666657</v>
      </c>
      <c r="E127">
        <v>0.125</v>
      </c>
      <c r="F127">
        <v>0.29166666666666657</v>
      </c>
      <c r="G127">
        <v>0.22500000000000001</v>
      </c>
    </row>
    <row r="128" spans="1:7" x14ac:dyDescent="0.15">
      <c r="A128" t="str">
        <f>HYPERLINK("./new_k5/query_cmdrels_weight_analyze/0.1_0.6_0.3/au_432836.xlsx","au_432836")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0.14285714285714279</v>
      </c>
      <c r="F128">
        <v>0.2142857142857143</v>
      </c>
      <c r="G128">
        <v>0.14285714285714279</v>
      </c>
    </row>
    <row r="129" spans="1:7" x14ac:dyDescent="0.15">
      <c r="A129" t="str">
        <f>HYPERLINK("./new_k5/query_cmdrels_weight_analyze/0.1_0.6_0.3/au_440326.xlsx","au_440326")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HYPERLINK("./new_k5/query_cmdrels_weight_analyze/0.1_0.6_0.3/au_442914.xlsx","au_442914")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HYPERLINK("./new_k5/query_cmdrels_weight_analyze/0.1_0.6_0.3/au_443227.xlsx","au_443227")</f>
        <v>au_443227</v>
      </c>
      <c r="B131">
        <v>0.5</v>
      </c>
      <c r="C131">
        <v>0</v>
      </c>
      <c r="D131">
        <v>0.5</v>
      </c>
      <c r="E131">
        <v>0</v>
      </c>
      <c r="F131">
        <v>0.5</v>
      </c>
      <c r="G131">
        <v>0.125</v>
      </c>
    </row>
    <row r="132" spans="1:7" x14ac:dyDescent="0.15">
      <c r="A132" t="str">
        <f>HYPERLINK("./new_k5/query_cmdrels_weight_analyze/0.1_0.6_0.3/au_44534.xlsx","au_44534")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HYPERLINK("./new_k5/query_cmdrels_weight_analyze/0.1_0.6_0.3/au_451805.xlsx","au_451805")</f>
        <v>au_451805</v>
      </c>
      <c r="B133">
        <v>0.33333333333333331</v>
      </c>
      <c r="C133">
        <v>0.33333333333333331</v>
      </c>
      <c r="D133">
        <v>0.33333333333333331</v>
      </c>
      <c r="E133">
        <v>0.33333333333333331</v>
      </c>
      <c r="F133">
        <v>0.33333333333333331</v>
      </c>
      <c r="G133">
        <v>0.33333333333333331</v>
      </c>
    </row>
    <row r="134" spans="1:7" x14ac:dyDescent="0.15">
      <c r="A134" t="str">
        <f>HYPERLINK("./new_k5/query_cmdrels_weight_analyze/0.1_0.6_0.3/au_464264.xlsx","au_464264")</f>
        <v>au_464264</v>
      </c>
      <c r="B134">
        <v>0.2</v>
      </c>
      <c r="C134">
        <v>0</v>
      </c>
      <c r="D134">
        <v>0.33333333333333331</v>
      </c>
      <c r="E134">
        <v>0</v>
      </c>
      <c r="F134">
        <v>0.48333333333333328</v>
      </c>
      <c r="G134">
        <v>0.13</v>
      </c>
    </row>
    <row r="135" spans="1:7" x14ac:dyDescent="0.15">
      <c r="A135" t="str">
        <f>HYPERLINK("./new_k5/query_cmdrels_weight_analyze/0.1_0.6_0.3/au_468808.xlsx","au_468808")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0.18</v>
      </c>
    </row>
    <row r="136" spans="1:7" x14ac:dyDescent="0.15">
      <c r="A136" t="str">
        <f>HYPERLINK("./new_k5/query_cmdrels_weight_analyze/0.1_0.6_0.3/au_469143.xlsx","au_469143")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0.48333333333333328</v>
      </c>
    </row>
    <row r="137" spans="1:7" x14ac:dyDescent="0.15">
      <c r="A137" t="str">
        <f>HYPERLINK("./new_k5/query_cmdrels_weight_analyze/0.1_0.6_0.3/au_470237.xlsx","au_470237")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HYPERLINK("./new_k5/query_cmdrels_weight_analyze/0.1_0.6_0.3/au_473037.xlsx","au_473037")</f>
        <v>au_473037</v>
      </c>
      <c r="B138">
        <v>0.5</v>
      </c>
      <c r="C138">
        <v>0.5</v>
      </c>
      <c r="D138">
        <v>0.83333333333333326</v>
      </c>
      <c r="E138">
        <v>0.5</v>
      </c>
      <c r="F138">
        <v>0.83333333333333326</v>
      </c>
      <c r="G138">
        <v>0.5</v>
      </c>
    </row>
    <row r="139" spans="1:7" x14ac:dyDescent="0.15">
      <c r="A139" t="str">
        <f>HYPERLINK("./new_k5/query_cmdrels_weight_analyze/0.1_0.6_0.3/au_48362.xlsx","au_48362")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HYPERLINK("./new_k5/query_cmdrels_weight_analyze/0.1_0.6_0.3/au_488435.xlsx","au_488435")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HYPERLINK("./new_k5/query_cmdrels_weight_analyze/0.1_0.6_0.3/au_493826.xlsx","au_493826")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HYPERLINK("./new_k5/query_cmdrels_weight_analyze/0.1_0.6_0.3/au_502110.xlsx","au_502110")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HYPERLINK("./new_k5/query_cmdrels_weight_analyze/0.1_0.6_0.3/au_50344.xlsx","au_50344")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HYPERLINK("./new_k5/query_cmdrels_weight_analyze/0.1_0.6_0.3/au_511467.xlsx","au_511467")</f>
        <v>au_511467</v>
      </c>
      <c r="B144">
        <v>0</v>
      </c>
      <c r="C144">
        <v>0.16666666666666671</v>
      </c>
      <c r="D144">
        <v>0.19444444444444439</v>
      </c>
      <c r="E144">
        <v>0.16666666666666671</v>
      </c>
      <c r="F144">
        <v>0.19444444444444439</v>
      </c>
      <c r="G144">
        <v>0.16666666666666671</v>
      </c>
    </row>
    <row r="145" spans="1:7" x14ac:dyDescent="0.15">
      <c r="A145" t="str">
        <f>HYPERLINK("./new_k5/query_cmdrels_weight_analyze/0.1_0.6_0.3/au_513046.xlsx","au_513046")</f>
        <v>au_513046</v>
      </c>
      <c r="B145">
        <v>0.25</v>
      </c>
      <c r="C145">
        <v>0</v>
      </c>
      <c r="D145">
        <v>0.5</v>
      </c>
      <c r="E145">
        <v>8.3333333333333329E-2</v>
      </c>
      <c r="F145">
        <v>0.5</v>
      </c>
      <c r="G145">
        <v>0.35833333333333328</v>
      </c>
    </row>
    <row r="146" spans="1:7" x14ac:dyDescent="0.15">
      <c r="A146" t="str">
        <f>HYPERLINK("./new_k5/query_cmdrels_weight_analyze/0.1_0.6_0.3/au_517354.xlsx","au_517354")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0.34523809523809518</v>
      </c>
    </row>
    <row r="147" spans="1:7" x14ac:dyDescent="0.15">
      <c r="A147" t="str">
        <f>HYPERLINK("./new_k5/query_cmdrels_weight_analyze/0.1_0.6_0.3/au_522431.xlsx","au_522431")</f>
        <v>au_522431</v>
      </c>
      <c r="B147">
        <v>0</v>
      </c>
      <c r="C147">
        <v>0.2</v>
      </c>
      <c r="D147">
        <v>0.23333333333333331</v>
      </c>
      <c r="E147">
        <v>0.33333333333333331</v>
      </c>
      <c r="F147">
        <v>0.54333333333333333</v>
      </c>
      <c r="G147">
        <v>0.48333333333333328</v>
      </c>
    </row>
    <row r="148" spans="1:7" x14ac:dyDescent="0.15">
      <c r="A148" t="str">
        <f>HYPERLINK("./new_k5/query_cmdrels_weight_analyze/0.1_0.6_0.3/au_52773.xlsx","au_52773")</f>
        <v>au_52773</v>
      </c>
      <c r="B148">
        <v>0</v>
      </c>
      <c r="C148">
        <v>0.2</v>
      </c>
      <c r="D148">
        <v>0.23333333333333331</v>
      </c>
      <c r="E148">
        <v>0.2</v>
      </c>
      <c r="F148">
        <v>0.23333333333333331</v>
      </c>
      <c r="G148">
        <v>0.28000000000000003</v>
      </c>
    </row>
    <row r="149" spans="1:7" x14ac:dyDescent="0.15">
      <c r="A149" t="str">
        <f>HYPERLINK("./new_k5/query_cmdrels_weight_analyze/0.1_0.6_0.3/au_528411.xlsx","au_528411")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HYPERLINK("./new_k5/query_cmdrels_weight_analyze/0.1_0.6_0.3/au_53263.xlsx","au_53263")</f>
        <v>au_53263</v>
      </c>
      <c r="B150">
        <v>0.25</v>
      </c>
      <c r="C150">
        <v>0.25</v>
      </c>
      <c r="D150">
        <v>0.75</v>
      </c>
      <c r="E150">
        <v>0.41666666666666657</v>
      </c>
      <c r="F150">
        <v>0.75</v>
      </c>
      <c r="G150">
        <v>0.41666666666666657</v>
      </c>
    </row>
    <row r="151" spans="1:7" x14ac:dyDescent="0.15">
      <c r="A151" t="str">
        <f>HYPERLINK("./new_k5/query_cmdrels_weight_analyze/0.1_0.6_0.3/au_53444.xlsx","au_53444")</f>
        <v>au_53444</v>
      </c>
      <c r="B151">
        <v>0.5</v>
      </c>
      <c r="C151">
        <v>0</v>
      </c>
      <c r="D151">
        <v>0.5</v>
      </c>
      <c r="E151">
        <v>0</v>
      </c>
      <c r="F151">
        <v>0.5</v>
      </c>
      <c r="G151">
        <v>0.1</v>
      </c>
    </row>
    <row r="152" spans="1:7" x14ac:dyDescent="0.15">
      <c r="A152" t="str">
        <f>HYPERLINK("./new_k5/query_cmdrels_weight_analyze/0.1_0.6_0.3/au_538208.xlsx","au_538208")</f>
        <v>au_538208</v>
      </c>
      <c r="B152">
        <v>0.125</v>
      </c>
      <c r="C152">
        <v>0.125</v>
      </c>
      <c r="D152">
        <v>0.375</v>
      </c>
      <c r="E152">
        <v>0.375</v>
      </c>
      <c r="F152">
        <v>0.5</v>
      </c>
      <c r="G152">
        <v>0.625</v>
      </c>
    </row>
    <row r="153" spans="1:7" x14ac:dyDescent="0.15">
      <c r="A153" t="str">
        <f>HYPERLINK("./new_k5/query_cmdrels_weight_analyze/0.1_0.6_0.3/au_53822.xlsx","au_53822")</f>
        <v>au_53822</v>
      </c>
      <c r="B153">
        <v>1</v>
      </c>
      <c r="C153">
        <v>0</v>
      </c>
      <c r="D153">
        <v>1</v>
      </c>
      <c r="E153">
        <v>0.5</v>
      </c>
      <c r="F153">
        <v>1</v>
      </c>
      <c r="G153">
        <v>0.5</v>
      </c>
    </row>
    <row r="154" spans="1:7" x14ac:dyDescent="0.15">
      <c r="A154" t="str">
        <f>HYPERLINK("./new_k5/query_cmdrels_weight_analyze/0.1_0.6_0.3/au_539243.xlsx","au_539243")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</v>
      </c>
    </row>
    <row r="155" spans="1:7" x14ac:dyDescent="0.15">
      <c r="A155" t="str">
        <f>HYPERLINK("./new_k5/query_cmdrels_weight_analyze/0.1_0.6_0.3/au_558280.xlsx","au_558280")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HYPERLINK("./new_k5/query_cmdrels_weight_analyze/0.1_0.6_0.3/au_558669.xlsx","au_558669")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HYPERLINK("./new_k5/query_cmdrels_weight_analyze/0.1_0.6_0.3/au_55868.xlsx","au_55868")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HYPERLINK("./new_k5/query_cmdrels_weight_analyze/0.1_0.6_0.3/au_561.xlsx","au_561")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0.5</v>
      </c>
    </row>
    <row r="159" spans="1:7" x14ac:dyDescent="0.15">
      <c r="A159" t="str">
        <f>HYPERLINK("./new_k5/query_cmdrels_weight_analyze/0.1_0.6_0.3/au_564567.xlsx","au_564567")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HYPERLINK("./new_k5/query_cmdrels_weight_analyze/0.1_0.6_0.3/au_57994.xlsx","au_57994")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0.23809523809523811</v>
      </c>
      <c r="F160">
        <v>0.5714285714285714</v>
      </c>
      <c r="G160">
        <v>0.23809523809523811</v>
      </c>
    </row>
    <row r="161" spans="1:7" x14ac:dyDescent="0.15">
      <c r="A161" t="str">
        <f>HYPERLINK("./new_k5/query_cmdrels_weight_analyze/0.1_0.6_0.3/au_589210.xlsx","au_589210")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0.375</v>
      </c>
    </row>
    <row r="162" spans="1:7" x14ac:dyDescent="0.15">
      <c r="A162" t="str">
        <f>HYPERLINK("./new_k5/query_cmdrels_weight_analyze/0.1_0.6_0.3/au_5911.xlsx","au_5911")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HYPERLINK("./new_k5/query_cmdrels_weight_analyze/0.1_0.6_0.3/au_59356.xlsx","au_59356")</f>
        <v>au_59356</v>
      </c>
      <c r="B163">
        <v>0</v>
      </c>
      <c r="C163">
        <v>0</v>
      </c>
      <c r="D163">
        <v>0.16666666666666671</v>
      </c>
      <c r="E163">
        <v>0</v>
      </c>
      <c r="F163">
        <v>0.16666666666666671</v>
      </c>
      <c r="G163">
        <v>0</v>
      </c>
    </row>
    <row r="164" spans="1:7" x14ac:dyDescent="0.15">
      <c r="A164" t="str">
        <f>HYPERLINK("./new_k5/query_cmdrels_weight_analyze/0.1_0.6_0.3/au_609850.xlsx","au_609850")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HYPERLINK("./new_k5/query_cmdrels_weight_analyze/0.1_0.6_0.3/au_61408.xlsx","au_61408")</f>
        <v>au_61408</v>
      </c>
      <c r="B165">
        <v>0</v>
      </c>
      <c r="C165">
        <v>0.33333333333333331</v>
      </c>
      <c r="D165">
        <v>0.16666666666666671</v>
      </c>
      <c r="E165">
        <v>0.33333333333333331</v>
      </c>
      <c r="F165">
        <v>0.16666666666666671</v>
      </c>
      <c r="G165">
        <v>0.33333333333333331</v>
      </c>
    </row>
    <row r="166" spans="1:7" x14ac:dyDescent="0.15">
      <c r="A166" t="str">
        <f>HYPERLINK("./new_k5/query_cmdrels_weight_analyze/0.1_0.6_0.3/au_617850.xlsx","au_617850")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HYPERLINK("./new_k5/query_cmdrels_weight_analyze/0.1_0.6_0.3/au_62073.xlsx","au_62073")</f>
        <v>au_62073</v>
      </c>
      <c r="B167">
        <v>0</v>
      </c>
      <c r="C167">
        <v>0.2</v>
      </c>
      <c r="D167">
        <v>0.23333333333333331</v>
      </c>
      <c r="E167">
        <v>0.33333333333333331</v>
      </c>
      <c r="F167">
        <v>0.23333333333333331</v>
      </c>
      <c r="G167">
        <v>0.48333333333333328</v>
      </c>
    </row>
    <row r="168" spans="1:7" x14ac:dyDescent="0.15">
      <c r="A168" t="str">
        <f>HYPERLINK("./new_k5/query_cmdrels_weight_analyze/0.1_0.6_0.3/au_620930.xlsx","au_620930")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0.45333333333333331</v>
      </c>
    </row>
    <row r="169" spans="1:7" x14ac:dyDescent="0.15">
      <c r="A169" t="str">
        <f>HYPERLINK("./new_k5/query_cmdrels_weight_analyze/0.1_0.6_0.3/au_62492.xlsx","au_62492")</f>
        <v>au_62492</v>
      </c>
      <c r="B169">
        <v>0.2</v>
      </c>
      <c r="C169">
        <v>0.2</v>
      </c>
      <c r="D169">
        <v>0.33333333333333331</v>
      </c>
      <c r="E169">
        <v>0.6</v>
      </c>
      <c r="F169">
        <v>0.48333333333333328</v>
      </c>
      <c r="G169">
        <v>0.8</v>
      </c>
    </row>
    <row r="170" spans="1:7" x14ac:dyDescent="0.15">
      <c r="A170" t="str">
        <f>HYPERLINK("./new_k5/query_cmdrels_weight_analyze/0.1_0.6_0.3/au_626078.xlsx","au_626078")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HYPERLINK("./new_k5/query_cmdrels_weight_analyze/0.1_0.6_0.3/au_636944.xlsx","au_636944")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HYPERLINK("./new_k5/query_cmdrels_weight_analyze/0.1_0.6_0.3/au_648603.xlsx","au_648603")</f>
        <v>au_648603</v>
      </c>
      <c r="B172">
        <v>0.25</v>
      </c>
      <c r="C172">
        <v>0.25</v>
      </c>
      <c r="D172">
        <v>0.25</v>
      </c>
      <c r="E172">
        <v>0.25</v>
      </c>
      <c r="F172">
        <v>0.25</v>
      </c>
      <c r="G172">
        <v>0.35</v>
      </c>
    </row>
    <row r="173" spans="1:7" x14ac:dyDescent="0.15">
      <c r="A173" t="str">
        <f>HYPERLINK("./new_k5/query_cmdrels_weight_analyze/0.1_0.6_0.3/au_65331.xlsx","au_65331")</f>
        <v>au_65331</v>
      </c>
      <c r="B173">
        <v>0</v>
      </c>
      <c r="C173">
        <v>0.16666666666666671</v>
      </c>
      <c r="D173">
        <v>8.3333333333333329E-2</v>
      </c>
      <c r="E173">
        <v>0.27777777777777768</v>
      </c>
      <c r="F173">
        <v>0.16666666666666671</v>
      </c>
      <c r="G173">
        <v>0.27777777777777768</v>
      </c>
    </row>
    <row r="174" spans="1:7" x14ac:dyDescent="0.15">
      <c r="A174" t="str">
        <f>HYPERLINK("./new_k5/query_cmdrels_weight_analyze/0.1_0.6_0.3/au_66000.xlsx","au_66000")</f>
        <v>au_66000</v>
      </c>
      <c r="B174">
        <v>0</v>
      </c>
      <c r="C174">
        <v>0.2</v>
      </c>
      <c r="D174">
        <v>0</v>
      </c>
      <c r="E174">
        <v>0.2</v>
      </c>
      <c r="F174">
        <v>0</v>
      </c>
      <c r="G174">
        <v>0.42</v>
      </c>
    </row>
    <row r="175" spans="1:7" x14ac:dyDescent="0.15">
      <c r="A175" t="str">
        <f>HYPERLINK("./new_k5/query_cmdrels_weight_analyze/0.1_0.6_0.3/au_660846.xlsx","au_660846")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HYPERLINK("./new_k5/query_cmdrels_weight_analyze/0.1_0.6_0.3/au_662935.xlsx","au_662935")</f>
        <v>au_662935</v>
      </c>
      <c r="B176">
        <v>0.125</v>
      </c>
      <c r="C176">
        <v>0.125</v>
      </c>
      <c r="D176">
        <v>0.125</v>
      </c>
      <c r="E176">
        <v>0.375</v>
      </c>
      <c r="F176">
        <v>0.125</v>
      </c>
      <c r="G176">
        <v>0.375</v>
      </c>
    </row>
    <row r="177" spans="1:7" x14ac:dyDescent="0.15">
      <c r="A177" t="str">
        <f>HYPERLINK("./new_k5/query_cmdrels_weight_analyze/0.1_0.6_0.3/au_67663.xlsx","au_67663")</f>
        <v>au_67663</v>
      </c>
      <c r="B177">
        <v>0</v>
      </c>
      <c r="C177">
        <v>0.25</v>
      </c>
      <c r="D177">
        <v>0.29166666666666657</v>
      </c>
      <c r="E177">
        <v>0.5</v>
      </c>
      <c r="F177">
        <v>0.29166666666666657</v>
      </c>
      <c r="G177">
        <v>0.5</v>
      </c>
    </row>
    <row r="178" spans="1:7" x14ac:dyDescent="0.15">
      <c r="A178" t="str">
        <f>HYPERLINK("./new_k5/query_cmdrels_weight_analyze/0.1_0.6_0.3/au_68028.xlsx","au_68028")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0.42857142857142849</v>
      </c>
      <c r="F178">
        <v>0.37142857142857139</v>
      </c>
      <c r="G178">
        <v>0.42857142857142849</v>
      </c>
    </row>
    <row r="179" spans="1:7" x14ac:dyDescent="0.15">
      <c r="A179" t="str">
        <f>HYPERLINK("./new_k5/query_cmdrels_weight_analyze/0.1_0.6_0.3/au_681312.xlsx","au_681312")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0.42857142857142849</v>
      </c>
      <c r="F179">
        <v>0.42857142857142849</v>
      </c>
      <c r="G179">
        <v>0.42857142857142849</v>
      </c>
    </row>
    <row r="180" spans="1:7" x14ac:dyDescent="0.15">
      <c r="A180" t="str">
        <f>HYPERLINK("./new_k5/query_cmdrels_weight_analyze/0.1_0.6_0.3/au_686239.xlsx","au_686239")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HYPERLINK("./new_k5/query_cmdrels_weight_analyze/0.1_0.6_0.3/au_68809.xlsx","au_68809")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0.28333333333333333</v>
      </c>
    </row>
    <row r="182" spans="1:7" x14ac:dyDescent="0.15">
      <c r="A182" t="str">
        <f>HYPERLINK("./new_k5/query_cmdrels_weight_analyze/0.1_0.6_0.3/au_69556.xlsx","au_69556")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HYPERLINK("./new_k5/query_cmdrels_weight_analyze/0.1_0.6_0.3/au_698993.xlsx","au_698993")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HYPERLINK("./new_k5/query_cmdrels_weight_analyze/0.1_0.6_0.3/au_707881.xlsx","au_707881")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HYPERLINK("./new_k5/query_cmdrels_weight_analyze/0.1_0.6_0.3/au_709594.xlsx","au_709594")</f>
        <v>au_709594</v>
      </c>
      <c r="B185">
        <v>0.33333333333333331</v>
      </c>
      <c r="C185">
        <v>0.33333333333333331</v>
      </c>
      <c r="D185">
        <v>0.66666666666666663</v>
      </c>
      <c r="E185">
        <v>0.55555555555555547</v>
      </c>
      <c r="F185">
        <v>0.91666666666666663</v>
      </c>
      <c r="G185">
        <v>0.55555555555555547</v>
      </c>
    </row>
    <row r="186" spans="1:7" x14ac:dyDescent="0.15">
      <c r="A186" t="str">
        <f>HYPERLINK("./new_k5/query_cmdrels_weight_analyze/0.1_0.6_0.3/au_71309.xlsx","au_71309")</f>
        <v>au_71309</v>
      </c>
      <c r="B186">
        <v>0.125</v>
      </c>
      <c r="C186">
        <v>0.125</v>
      </c>
      <c r="D186">
        <v>0.20833333333333329</v>
      </c>
      <c r="E186">
        <v>0.20833333333333329</v>
      </c>
      <c r="F186">
        <v>0.20833333333333329</v>
      </c>
      <c r="G186">
        <v>0.30208333333333331</v>
      </c>
    </row>
    <row r="187" spans="1:7" x14ac:dyDescent="0.15">
      <c r="A187" t="str">
        <f>HYPERLINK("./new_k5/query_cmdrels_weight_analyze/0.1_0.6_0.3/au_7138.xlsx","au_7138")</f>
        <v>au_7138</v>
      </c>
      <c r="B187">
        <v>0.25</v>
      </c>
      <c r="C187">
        <v>0</v>
      </c>
      <c r="D187">
        <v>0.75</v>
      </c>
      <c r="E187">
        <v>0</v>
      </c>
      <c r="F187">
        <v>0.75</v>
      </c>
      <c r="G187">
        <v>0</v>
      </c>
    </row>
    <row r="188" spans="1:7" x14ac:dyDescent="0.15">
      <c r="A188" t="str">
        <f>HYPERLINK("./new_k5/query_cmdrels_weight_analyze/0.1_0.6_0.3/au_72549.xlsx","au_72549")</f>
        <v>au_72549</v>
      </c>
      <c r="B188">
        <v>0</v>
      </c>
      <c r="C188">
        <v>0</v>
      </c>
      <c r="D188">
        <v>0</v>
      </c>
      <c r="E188">
        <v>8.3333333333333329E-2</v>
      </c>
      <c r="F188">
        <v>0</v>
      </c>
      <c r="G188">
        <v>8.3333333333333329E-2</v>
      </c>
    </row>
    <row r="189" spans="1:7" x14ac:dyDescent="0.15">
      <c r="A189" t="str">
        <f>HYPERLINK("./new_k5/query_cmdrels_weight_analyze/0.1_0.6_0.3/au_740805.xlsx","au_740805")</f>
        <v>au_740805</v>
      </c>
      <c r="B189">
        <v>0.25</v>
      </c>
      <c r="C189">
        <v>0</v>
      </c>
      <c r="D189">
        <v>0.41666666666666657</v>
      </c>
      <c r="E189">
        <v>8.3333333333333329E-2</v>
      </c>
      <c r="F189">
        <v>0.41666666666666657</v>
      </c>
      <c r="G189">
        <v>0.20833333333333329</v>
      </c>
    </row>
    <row r="190" spans="1:7" x14ac:dyDescent="0.15">
      <c r="A190" t="str">
        <f>HYPERLINK("./new_k5/query_cmdrels_weight_analyze/0.1_0.6_0.3/au_760796.xlsx","au_760796")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HYPERLINK("./new_k5/query_cmdrels_weight_analyze/0.1_0.6_0.3/au_762846.xlsx","au_762846")</f>
        <v>au_762846</v>
      </c>
      <c r="B191">
        <v>0.16666666666666671</v>
      </c>
      <c r="C191">
        <v>0</v>
      </c>
      <c r="D191">
        <v>0.5</v>
      </c>
      <c r="E191">
        <v>5.5555555555555552E-2</v>
      </c>
      <c r="F191">
        <v>0.6333333333333333</v>
      </c>
      <c r="G191">
        <v>5.5555555555555552E-2</v>
      </c>
    </row>
    <row r="192" spans="1:7" x14ac:dyDescent="0.15">
      <c r="A192" t="str">
        <f>HYPERLINK("./new_k5/query_cmdrels_weight_analyze/0.1_0.6_0.3/au_767786.xlsx","au_767786")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0.76</v>
      </c>
    </row>
    <row r="193" spans="1:7" x14ac:dyDescent="0.15">
      <c r="A193" t="str">
        <f>HYPERLINK("./new_k5/query_cmdrels_weight_analyze/0.1_0.6_0.3/au_778906.xlsx","au_778906")</f>
        <v>au_778906</v>
      </c>
      <c r="B193">
        <v>0.2</v>
      </c>
      <c r="C193">
        <v>0.2</v>
      </c>
      <c r="D193">
        <v>0.33333333333333331</v>
      </c>
      <c r="E193">
        <v>0.6</v>
      </c>
      <c r="F193">
        <v>0.33333333333333331</v>
      </c>
      <c r="G193">
        <v>0.6</v>
      </c>
    </row>
    <row r="194" spans="1:7" x14ac:dyDescent="0.15">
      <c r="A194" t="str">
        <f>HYPERLINK("./new_k5/query_cmdrels_weight_analyze/0.1_0.6_0.3/au_818929.xlsx","au_818929")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0.3</v>
      </c>
    </row>
    <row r="195" spans="1:7" x14ac:dyDescent="0.15">
      <c r="A195" t="str">
        <f>HYPERLINK("./new_k5/query_cmdrels_weight_analyze/0.1_0.6_0.3/au_844876.xlsx","au_844876")</f>
        <v>au_844876</v>
      </c>
      <c r="B195">
        <v>0.5</v>
      </c>
      <c r="C195">
        <v>0.5</v>
      </c>
      <c r="D195">
        <v>0.5</v>
      </c>
      <c r="E195">
        <v>0.5</v>
      </c>
      <c r="F195">
        <v>0.5</v>
      </c>
      <c r="G195">
        <v>0.75</v>
      </c>
    </row>
    <row r="196" spans="1:7" x14ac:dyDescent="0.15">
      <c r="A196" t="str">
        <f>HYPERLINK("./new_k5/query_cmdrels_weight_analyze/0.1_0.6_0.3/au_85318.xlsx","au_85318")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0.4</v>
      </c>
    </row>
    <row r="197" spans="1:7" x14ac:dyDescent="0.15">
      <c r="A197" t="str">
        <f>HYPERLINK("./new_k5/query_cmdrels_weight_analyze/0.1_0.6_0.3/au_854332.xlsx","au_854332")</f>
        <v>au_854332</v>
      </c>
      <c r="B197">
        <v>0.33333333333333331</v>
      </c>
      <c r="C197">
        <v>0</v>
      </c>
      <c r="D197">
        <v>0.55555555555555547</v>
      </c>
      <c r="E197">
        <v>0.16666666666666671</v>
      </c>
      <c r="F197">
        <v>0.55555555555555547</v>
      </c>
      <c r="G197">
        <v>0.33333333333333331</v>
      </c>
    </row>
    <row r="198" spans="1:7" x14ac:dyDescent="0.15">
      <c r="A198" t="str">
        <f>HYPERLINK("./new_k5/query_cmdrels_weight_analyze/0.1_0.6_0.3/au_854373.xlsx","au_854373")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HYPERLINK("./new_k5/query_cmdrels_weight_analyze/0.1_0.6_0.3/au_86843.xlsx","au_86843")</f>
        <v>au_86843</v>
      </c>
      <c r="B199">
        <v>0</v>
      </c>
      <c r="C199">
        <v>0</v>
      </c>
      <c r="D199">
        <v>0</v>
      </c>
      <c r="E199">
        <v>6.6666666666666666E-2</v>
      </c>
      <c r="F199">
        <v>0.04</v>
      </c>
      <c r="G199">
        <v>6.6666666666666666E-2</v>
      </c>
    </row>
    <row r="200" spans="1:7" x14ac:dyDescent="0.15">
      <c r="A200" t="str">
        <f>HYPERLINK("./new_k5/query_cmdrels_weight_analyze/0.1_0.6_0.3/au_88108.xlsx","au_88108")</f>
        <v>au_88108</v>
      </c>
      <c r="B200">
        <v>0</v>
      </c>
      <c r="C200">
        <v>0</v>
      </c>
      <c r="D200">
        <v>0.1</v>
      </c>
      <c r="E200">
        <v>0</v>
      </c>
      <c r="F200">
        <v>0.1</v>
      </c>
      <c r="G200">
        <v>0</v>
      </c>
    </row>
    <row r="201" spans="1:7" x14ac:dyDescent="0.15">
      <c r="A201" t="str">
        <f>HYPERLINK("./new_k5/query_cmdrels_weight_analyze/0.1_0.6_0.3/au_90214.xlsx","au_90214")</f>
        <v>au_90214</v>
      </c>
      <c r="B201">
        <v>0</v>
      </c>
      <c r="C201">
        <v>0</v>
      </c>
      <c r="D201">
        <v>0.16666666666666671</v>
      </c>
      <c r="E201">
        <v>0.1111111111111111</v>
      </c>
      <c r="F201">
        <v>0.16666666666666671</v>
      </c>
      <c r="G201">
        <v>0.24444444444444449</v>
      </c>
    </row>
    <row r="202" spans="1:7" x14ac:dyDescent="0.15">
      <c r="A202" t="str">
        <f>HYPERLINK("./new_k5/query_cmdrels_weight_analyze/0.1_0.6_0.3/au_90339.xlsx","au_90339")</f>
        <v>au_90339</v>
      </c>
      <c r="B202">
        <v>0</v>
      </c>
      <c r="C202">
        <v>0.14285714285714279</v>
      </c>
      <c r="D202">
        <v>4.7619047619047623E-2</v>
      </c>
      <c r="E202">
        <v>0.42857142857142849</v>
      </c>
      <c r="F202">
        <v>0.2047619047619047</v>
      </c>
      <c r="G202">
        <v>0.42857142857142849</v>
      </c>
    </row>
    <row r="203" spans="1:7" x14ac:dyDescent="0.15">
      <c r="A203" t="str">
        <f>HYPERLINK("./new_k5/query_cmdrels_weight_analyze/0.1_0.6_0.3/au_91286.xlsx","au_91286")</f>
        <v>au_91286</v>
      </c>
      <c r="B203">
        <v>0.5</v>
      </c>
      <c r="C203">
        <v>0</v>
      </c>
      <c r="D203">
        <v>0.5</v>
      </c>
      <c r="E203">
        <v>0</v>
      </c>
      <c r="F203">
        <v>0.5</v>
      </c>
      <c r="G203">
        <v>0.125</v>
      </c>
    </row>
    <row r="204" spans="1:7" x14ac:dyDescent="0.15">
      <c r="A204" t="str">
        <f>HYPERLINK("./new_k5/query_cmdrels_weight_analyze/0.1_0.6_0.3/au_9135.xlsx","au_9135")</f>
        <v>au_9135</v>
      </c>
      <c r="B204">
        <v>0.1</v>
      </c>
      <c r="C204">
        <v>0.1</v>
      </c>
      <c r="D204">
        <v>0.16666666666666671</v>
      </c>
      <c r="E204">
        <v>0.16666666666666671</v>
      </c>
      <c r="F204">
        <v>0.24166666666666661</v>
      </c>
      <c r="G204">
        <v>0.24166666666666661</v>
      </c>
    </row>
    <row r="205" spans="1:7" x14ac:dyDescent="0.15">
      <c r="A205" t="str">
        <f>HYPERLINK("./new_k5/query_cmdrels_weight_analyze/0.1_0.6_0.3/au_935569.xlsx","au_935569")</f>
        <v>au_935569</v>
      </c>
      <c r="B205">
        <v>0.14285714285714279</v>
      </c>
      <c r="C205">
        <v>0</v>
      </c>
      <c r="D205">
        <v>0.42857142857142849</v>
      </c>
      <c r="E205">
        <v>0.16666666666666671</v>
      </c>
      <c r="F205">
        <v>0.54285714285714282</v>
      </c>
      <c r="G205">
        <v>0.16666666666666671</v>
      </c>
    </row>
    <row r="206" spans="1:7" x14ac:dyDescent="0.15">
      <c r="A206" t="str">
        <f>HYPERLINK("./new_k5/query_cmdrels_weight_analyze/0.1_0.6_0.3/au_97936.xlsx","au_97936")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0.37142857142857139</v>
      </c>
    </row>
    <row r="207" spans="1:7" x14ac:dyDescent="0.15">
      <c r="A207" t="str">
        <f>HYPERLINK("./new_k5/query_cmdrels_weight_analyze/0.1_0.6_0.3/so_10235778.xlsx","so_10235778")</f>
        <v>so_10235778</v>
      </c>
      <c r="B207">
        <v>0.25</v>
      </c>
      <c r="C207">
        <v>0.25</v>
      </c>
      <c r="D207">
        <v>0.5</v>
      </c>
      <c r="E207">
        <v>0.41666666666666657</v>
      </c>
      <c r="F207">
        <v>0.5</v>
      </c>
      <c r="G207">
        <v>0.41666666666666657</v>
      </c>
    </row>
    <row r="208" spans="1:7" x14ac:dyDescent="0.15">
      <c r="A208" t="str">
        <f>HYPERLINK("./new_k5/query_cmdrels_weight_analyze/0.1_0.6_0.3/so_1045910.xlsx","so_1045910")</f>
        <v>so_1045910</v>
      </c>
      <c r="B208">
        <v>0.25</v>
      </c>
      <c r="C208">
        <v>0</v>
      </c>
      <c r="D208">
        <v>0.25</v>
      </c>
      <c r="E208">
        <v>0.125</v>
      </c>
      <c r="F208">
        <v>0.25</v>
      </c>
      <c r="G208">
        <v>0.25</v>
      </c>
    </row>
    <row r="209" spans="1:7" x14ac:dyDescent="0.15">
      <c r="A209" t="str">
        <f>HYPERLINK("./new_k5/query_cmdrels_weight_analyze/0.1_0.6_0.3/so_10557360.xlsx","so_10557360")</f>
        <v>so_10557360</v>
      </c>
      <c r="B209">
        <v>0</v>
      </c>
      <c r="C209">
        <v>0</v>
      </c>
      <c r="D209">
        <v>0</v>
      </c>
      <c r="E209">
        <v>0.1</v>
      </c>
      <c r="F209">
        <v>0</v>
      </c>
      <c r="G209">
        <v>0.1</v>
      </c>
    </row>
    <row r="210" spans="1:7" x14ac:dyDescent="0.15">
      <c r="A210" t="str">
        <f>HYPERLINK("./new_k5/query_cmdrels_weight_analyze/0.1_0.6_0.3/so_1058047.xlsx","so_1058047")</f>
        <v>so_1058047</v>
      </c>
      <c r="B210">
        <v>0.25</v>
      </c>
      <c r="C210">
        <v>0.25</v>
      </c>
      <c r="D210">
        <v>0.25</v>
      </c>
      <c r="E210">
        <v>0.41666666666666657</v>
      </c>
      <c r="F210">
        <v>0.25</v>
      </c>
      <c r="G210">
        <v>0.41666666666666657</v>
      </c>
    </row>
    <row r="211" spans="1:7" x14ac:dyDescent="0.15">
      <c r="A211" t="str">
        <f>HYPERLINK("./new_k5/query_cmdrels_weight_analyze/0.1_0.6_0.3/so_10829402.xlsx","so_10829402")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HYPERLINK("./new_k5/query_cmdrels_weight_analyze/0.1_0.6_0.3/so_1088098.xlsx","so_1088098")</f>
        <v>so_1088098</v>
      </c>
      <c r="B212">
        <v>0</v>
      </c>
      <c r="C212">
        <v>0</v>
      </c>
      <c r="D212">
        <v>0.125</v>
      </c>
      <c r="E212">
        <v>0.125</v>
      </c>
      <c r="F212">
        <v>0.125</v>
      </c>
      <c r="G212">
        <v>0.125</v>
      </c>
    </row>
    <row r="213" spans="1:7" x14ac:dyDescent="0.15">
      <c r="A213" t="str">
        <f>HYPERLINK("./new_k5/query_cmdrels_weight_analyze/0.1_0.6_0.3/so_10990949.xlsx","so_10990949")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0.7</v>
      </c>
    </row>
    <row r="214" spans="1:7" x14ac:dyDescent="0.15">
      <c r="A214" t="str">
        <f>HYPERLINK("./new_k5/query_cmdrels_weight_analyze/0.1_0.6_0.3/so_11211705.xlsx","so_11211705")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HYPERLINK("./new_k5/query_cmdrels_weight_analyze/0.1_0.6_0.3/so_112932.xlsx","so_112932")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HYPERLINK("./new_k5/query_cmdrels_weight_analyze/0.1_0.6_0.3/so_11392189.xlsx","so_11392189")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0.18333333333333329</v>
      </c>
    </row>
    <row r="217" spans="1:7" x14ac:dyDescent="0.15">
      <c r="A217" t="str">
        <f>HYPERLINK("./new_k5/query_cmdrels_weight_analyze/0.1_0.6_0.3/so_1183183.xlsx","so_1183183")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15">
      <c r="A218" t="str">
        <f>HYPERLINK("./new_k5/query_cmdrels_weight_analyze/0.1_0.6_0.3/so_1194882.xlsx","so_1194882")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HYPERLINK("./new_k5/query_cmdrels_weight_analyze/0.1_0.6_0.3/so_12120935.xlsx","so_12120935")</f>
        <v>so_12120935</v>
      </c>
      <c r="B219">
        <v>0.25</v>
      </c>
      <c r="C219">
        <v>0.25</v>
      </c>
      <c r="D219">
        <v>0.41666666666666657</v>
      </c>
      <c r="E219">
        <v>0.5</v>
      </c>
      <c r="F219">
        <v>0.41666666666666657</v>
      </c>
      <c r="G219">
        <v>0.6875</v>
      </c>
    </row>
    <row r="220" spans="1:7" x14ac:dyDescent="0.15">
      <c r="A220" t="str">
        <f>HYPERLINK("./new_k5/query_cmdrels_weight_analyze/0.1_0.6_0.3/so_12313384.xlsx","so_12313384")</f>
        <v>so_12313384</v>
      </c>
      <c r="B220">
        <v>0</v>
      </c>
      <c r="C220">
        <v>0.33333333333333331</v>
      </c>
      <c r="D220">
        <v>0.16666666666666671</v>
      </c>
      <c r="E220">
        <v>0.33333333333333331</v>
      </c>
      <c r="F220">
        <v>0.16666666666666671</v>
      </c>
      <c r="G220">
        <v>0.33333333333333331</v>
      </c>
    </row>
    <row r="221" spans="1:7" x14ac:dyDescent="0.15">
      <c r="A221" t="str">
        <f>HYPERLINK("./new_k5/query_cmdrels_weight_analyze/0.1_0.6_0.3/so_12392598.xlsx","so_12392598")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0.42857142857142849</v>
      </c>
      <c r="F221">
        <v>0.2857142857142857</v>
      </c>
      <c r="G221">
        <v>0.54285714285714282</v>
      </c>
    </row>
    <row r="222" spans="1:7" x14ac:dyDescent="0.15">
      <c r="A222" t="str">
        <f>HYPERLINK("./new_k5/query_cmdrels_weight_analyze/0.1_0.6_0.3/so_1241801.xlsx","so_1241801")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HYPERLINK("./new_k5/query_cmdrels_weight_analyze/0.1_0.6_0.3/so_12522269.xlsx","so_12522269")</f>
        <v>so_12522269</v>
      </c>
      <c r="B223">
        <v>0.2</v>
      </c>
      <c r="C223">
        <v>0</v>
      </c>
      <c r="D223">
        <v>0.2</v>
      </c>
      <c r="E223">
        <v>0.1</v>
      </c>
      <c r="F223">
        <v>0.28000000000000003</v>
      </c>
      <c r="G223">
        <v>0.1</v>
      </c>
    </row>
    <row r="224" spans="1:7" x14ac:dyDescent="0.15">
      <c r="A224" t="str">
        <f>HYPERLINK("./new_k5/query_cmdrels_weight_analyze/0.1_0.6_0.3/so_1293907.xlsx","so_1293907")</f>
        <v>so_1293907</v>
      </c>
      <c r="B224">
        <v>0</v>
      </c>
      <c r="C224">
        <v>0.33333333333333331</v>
      </c>
      <c r="D224">
        <v>0</v>
      </c>
      <c r="E224">
        <v>0.66666666666666663</v>
      </c>
      <c r="F224">
        <v>8.3333333333333329E-2</v>
      </c>
      <c r="G224">
        <v>0.8666666666666667</v>
      </c>
    </row>
    <row r="225" spans="1:7" x14ac:dyDescent="0.15">
      <c r="A225" t="str">
        <f>HYPERLINK("./new_k5/query_cmdrels_weight_analyze/0.1_0.6_0.3/so_13428910.xlsx","so_13428910")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HYPERLINK("./new_k5/query_cmdrels_weight_analyze/0.1_0.6_0.3/so_135688.xlsx","so_135688")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HYPERLINK("./new_k5/query_cmdrels_weight_analyze/0.1_0.6_0.3/so_13778273.xlsx","so_13778273")</f>
        <v>so_13778273</v>
      </c>
      <c r="B227">
        <v>0.25</v>
      </c>
      <c r="C227">
        <v>0.25</v>
      </c>
      <c r="D227">
        <v>0.25</v>
      </c>
      <c r="E227">
        <v>0.41666666666666657</v>
      </c>
      <c r="F227">
        <v>0.25</v>
      </c>
      <c r="G227">
        <v>0.56666666666666665</v>
      </c>
    </row>
    <row r="228" spans="1:7" x14ac:dyDescent="0.15">
      <c r="A228" t="str">
        <f>HYPERLINK("./new_k5/query_cmdrels_weight_analyze/0.1_0.6_0.3/so_1405611.xlsx","so_1405611")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0.1111111111111111</v>
      </c>
      <c r="F228">
        <v>0.33333333333333331</v>
      </c>
      <c r="G228">
        <v>0.1111111111111111</v>
      </c>
    </row>
    <row r="229" spans="1:7" x14ac:dyDescent="0.15">
      <c r="A229" t="str">
        <f>HYPERLINK("./new_k5/query_cmdrels_weight_analyze/0.1_0.6_0.3/so_14300794.xlsx","so_14300794")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HYPERLINK("./new_k5/query_cmdrels_weight_analyze/0.1_0.6_0.3/so_143791.xlsx","so_143791")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HYPERLINK("./new_k5/query_cmdrels_weight_analyze/0.1_0.6_0.3/so_14750650.xlsx","so_14750650")</f>
        <v>so_14750650</v>
      </c>
      <c r="B231">
        <v>0</v>
      </c>
      <c r="C231">
        <v>0</v>
      </c>
      <c r="D231">
        <v>0</v>
      </c>
      <c r="E231">
        <v>8.3333333333333329E-2</v>
      </c>
      <c r="F231">
        <v>0</v>
      </c>
      <c r="G231">
        <v>0.18333333333333329</v>
      </c>
    </row>
    <row r="232" spans="1:7" x14ac:dyDescent="0.15">
      <c r="A232" t="str">
        <f>HYPERLINK("./new_k5/query_cmdrels_weight_analyze/0.1_0.6_0.3/so_14978411.xlsx","so_14978411")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HYPERLINK("./new_k5/query_cmdrels_weight_analyze/0.1_0.6_0.3/so_15236308.xlsx","so_15236308")</f>
        <v>so_15236308</v>
      </c>
      <c r="B233">
        <v>0.25</v>
      </c>
      <c r="C233">
        <v>0.25</v>
      </c>
      <c r="D233">
        <v>0.25</v>
      </c>
      <c r="E233">
        <v>0.5</v>
      </c>
      <c r="F233">
        <v>0.25</v>
      </c>
      <c r="G233">
        <v>0.6875</v>
      </c>
    </row>
    <row r="234" spans="1:7" x14ac:dyDescent="0.15">
      <c r="A234" t="str">
        <f>HYPERLINK("./new_k5/query_cmdrels_weight_analyze/0.1_0.6_0.3/so_15286947.xlsx","so_15286947")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HYPERLINK("./new_k5/query_cmdrels_weight_analyze/0.1_0.6_0.3/so_15402770.xlsx","so_15402770")</f>
        <v>so_15402770</v>
      </c>
      <c r="B235">
        <v>0</v>
      </c>
      <c r="C235">
        <v>0.16666666666666671</v>
      </c>
      <c r="D235">
        <v>0.19444444444444439</v>
      </c>
      <c r="E235">
        <v>0.5</v>
      </c>
      <c r="F235">
        <v>0.19444444444444439</v>
      </c>
      <c r="G235">
        <v>0.66666666666666663</v>
      </c>
    </row>
    <row r="236" spans="1:7" x14ac:dyDescent="0.15">
      <c r="A236" t="str">
        <f>HYPERLINK("./new_k5/query_cmdrels_weight_analyze/0.1_0.6_0.3/so_1570262.xlsx","so_1570262")</f>
        <v>so_1570262</v>
      </c>
      <c r="B236">
        <v>0</v>
      </c>
      <c r="C236">
        <v>0</v>
      </c>
      <c r="D236">
        <v>0</v>
      </c>
      <c r="E236">
        <v>6.6666666666666666E-2</v>
      </c>
      <c r="F236">
        <v>0</v>
      </c>
      <c r="G236">
        <v>0.1466666666666667</v>
      </c>
    </row>
    <row r="237" spans="1:7" x14ac:dyDescent="0.15">
      <c r="A237" t="str">
        <f>HYPERLINK("./new_k5/query_cmdrels_weight_analyze/0.1_0.6_0.3/so_1583219.xlsx","so_1583219")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HYPERLINK("./new_k5/query_cmdrels_weight_analyze/0.1_0.6_0.3/so_15872543.xlsx","so_15872543")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HYPERLINK("./new_k5/query_cmdrels_weight_analyze/0.1_0.6_0.3/so_16038087.xlsx","so_16038087")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0.14285714285714279</v>
      </c>
      <c r="F239">
        <v>0.2857142857142857</v>
      </c>
      <c r="G239">
        <v>0.14285714285714279</v>
      </c>
    </row>
    <row r="240" spans="1:7" x14ac:dyDescent="0.15">
      <c r="A240" t="str">
        <f>HYPERLINK("./new_k5/query_cmdrels_weight_analyze/0.1_0.6_0.3/so_16212656.xlsx","so_16212656")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HYPERLINK("./new_k5/query_cmdrels_weight_analyze/0.1_0.6_0.3/so_16575419.xlsx","so_16575419")</f>
        <v>so_16575419</v>
      </c>
      <c r="B241">
        <v>0.25</v>
      </c>
      <c r="C241">
        <v>0.25</v>
      </c>
      <c r="D241">
        <v>0.25</v>
      </c>
      <c r="E241">
        <v>0.75</v>
      </c>
      <c r="F241">
        <v>0.25</v>
      </c>
      <c r="G241">
        <v>0.75</v>
      </c>
    </row>
    <row r="242" spans="1:7" x14ac:dyDescent="0.15">
      <c r="A242" t="str">
        <f>HYPERLINK("./new_k5/query_cmdrels_weight_analyze/0.1_0.6_0.3/so_17582768.xlsx","so_17582768")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8.3333333333333329E-2</v>
      </c>
    </row>
    <row r="243" spans="1:7" x14ac:dyDescent="0.15">
      <c r="A243" t="str">
        <f>HYPERLINK("./new_k5/query_cmdrels_weight_analyze/0.1_0.6_0.3/so_17607612.xlsx","so_17607612")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HYPERLINK("./new_k5/query_cmdrels_weight_analyze/0.1_0.6_0.3/so_17829785.xlsx","so_17829785")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HYPERLINK("./new_k5/query_cmdrels_weight_analyze/0.1_0.6_0.3/so_1839841.xlsx","so_1839841")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HYPERLINK("./new_k5/query_cmdrels_weight_analyze/0.1_0.6_0.3/so_18468716.xlsx","so_18468716")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0.46666666666666662</v>
      </c>
    </row>
    <row r="247" spans="1:7" x14ac:dyDescent="0.15">
      <c r="A247" t="str">
        <f>HYPERLINK("./new_k5/query_cmdrels_weight_analyze/0.1_0.6_0.3/so_19196105.xlsx","so_19196105")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0.19166666666666671</v>
      </c>
    </row>
    <row r="248" spans="1:7" x14ac:dyDescent="0.15">
      <c r="A248" t="str">
        <f>HYPERLINK("./new_k5/query_cmdrels_weight_analyze/0.1_0.6_0.3/so_19482123.xlsx","so_19482123")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HYPERLINK("./new_k5/query_cmdrels_weight_analyze/0.1_0.6_0.3/so_1975849.xlsx","so_1975849")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HYPERLINK("./new_k5/query_cmdrels_weight_analyze/0.1_0.6_0.3/so_212528.xlsx","so_212528")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0.45833333333333331</v>
      </c>
    </row>
    <row r="251" spans="1:7" x14ac:dyDescent="0.15">
      <c r="A251" t="str">
        <f>HYPERLINK("./new_k5/query_cmdrels_weight_analyze/0.1_0.6_0.3/so_21620406.xlsx","so_21620406")</f>
        <v>so_21620406</v>
      </c>
      <c r="B251">
        <v>0</v>
      </c>
      <c r="C251">
        <v>0</v>
      </c>
      <c r="D251">
        <v>0.1111111111111111</v>
      </c>
      <c r="E251">
        <v>0.16666666666666671</v>
      </c>
      <c r="F251">
        <v>0.1111111111111111</v>
      </c>
      <c r="G251">
        <v>0.16666666666666671</v>
      </c>
    </row>
    <row r="252" spans="1:7" x14ac:dyDescent="0.15">
      <c r="A252" t="str">
        <f>HYPERLINK("./new_k5/query_cmdrels_weight_analyze/0.1_0.6_0.3/so_23509348.xlsx","so_23509348")</f>
        <v>so_23509348</v>
      </c>
      <c r="B252">
        <v>0</v>
      </c>
      <c r="C252">
        <v>0</v>
      </c>
      <c r="D252">
        <v>0</v>
      </c>
      <c r="E252">
        <v>8.3333333333333329E-2</v>
      </c>
      <c r="F252">
        <v>0</v>
      </c>
      <c r="G252">
        <v>0.20833333333333329</v>
      </c>
    </row>
    <row r="253" spans="1:7" x14ac:dyDescent="0.15">
      <c r="A253" t="str">
        <f>HYPERLINK("./new_k5/query_cmdrels_weight_analyze/0.1_0.6_0.3/so_24058544.xlsx","so_24058544")</f>
        <v>so_24058544</v>
      </c>
      <c r="B253">
        <v>0.2</v>
      </c>
      <c r="C253">
        <v>0.2</v>
      </c>
      <c r="D253">
        <v>0.2</v>
      </c>
      <c r="E253">
        <v>0.4</v>
      </c>
      <c r="F253">
        <v>0.2</v>
      </c>
      <c r="G253">
        <v>0.4</v>
      </c>
    </row>
    <row r="254" spans="1:7" x14ac:dyDescent="0.15">
      <c r="A254" t="str">
        <f>HYPERLINK("./new_k5/query_cmdrels_weight_analyze/0.1_0.6_0.3/so_24283097.xlsx","so_24283097")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HYPERLINK("./new_k5/query_cmdrels_weight_analyze/0.1_0.6_0.3/so_26256279.xlsx","so_26256279")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HYPERLINK("./new_k5/query_cmdrels_weight_analyze/0.1_0.6_0.3/so_26331651.xlsx","so_26331651")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0.32380952380952382</v>
      </c>
    </row>
    <row r="257" spans="1:7" x14ac:dyDescent="0.15">
      <c r="A257" t="str">
        <f>HYPERLINK("./new_k5/query_cmdrels_weight_analyze/0.1_0.6_0.3/so_26988262.xlsx","so_26988262")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0.46666666666666662</v>
      </c>
    </row>
    <row r="258" spans="1:7" x14ac:dyDescent="0.15">
      <c r="A258" t="str">
        <f>HYPERLINK("./new_k5/query_cmdrels_weight_analyze/0.1_0.6_0.3/so_27238411.xlsx","so_27238411")</f>
        <v>so_27238411</v>
      </c>
      <c r="B258">
        <v>0.2</v>
      </c>
      <c r="C258">
        <v>0.2</v>
      </c>
      <c r="D258">
        <v>0.6</v>
      </c>
      <c r="E258">
        <v>0.33333333333333331</v>
      </c>
      <c r="F258">
        <v>0.6</v>
      </c>
      <c r="G258">
        <v>0.48333333333333328</v>
      </c>
    </row>
    <row r="259" spans="1:7" x14ac:dyDescent="0.15">
      <c r="A259" t="str">
        <f>HYPERLINK("./new_k5/query_cmdrels_weight_analyze/0.1_0.6_0.3/so_27943059.xlsx","so_27943059")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0.55555555555555547</v>
      </c>
      <c r="F259">
        <v>0.16666666666666671</v>
      </c>
      <c r="G259">
        <v>0.55555555555555547</v>
      </c>
    </row>
    <row r="260" spans="1:7" x14ac:dyDescent="0.15">
      <c r="A260" t="str">
        <f>HYPERLINK("./new_k5/query_cmdrels_weight_analyze/0.1_0.6_0.3/so_28869004.xlsx","so_28869004")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HYPERLINK("./new_k5/query_cmdrels_weight_analyze/0.1_0.6_0.3/so_2973624.xlsx","so_2973624")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0.33333333333333331</v>
      </c>
      <c r="F261">
        <v>0.66666666666666663</v>
      </c>
      <c r="G261">
        <v>0.33333333333333331</v>
      </c>
    </row>
    <row r="262" spans="1:7" x14ac:dyDescent="0.15">
      <c r="A262" t="str">
        <f>HYPERLINK("./new_k5/query_cmdrels_weight_analyze/0.1_0.6_0.3/so_30177455.xlsx","so_30177455")</f>
        <v>so_30177455</v>
      </c>
      <c r="B262">
        <v>0</v>
      </c>
      <c r="C262">
        <v>0</v>
      </c>
      <c r="D262">
        <v>0.16666666666666671</v>
      </c>
      <c r="E262">
        <v>0.16666666666666671</v>
      </c>
      <c r="F262">
        <v>0.16666666666666671</v>
      </c>
      <c r="G262">
        <v>0.16666666666666671</v>
      </c>
    </row>
    <row r="263" spans="1:7" x14ac:dyDescent="0.15">
      <c r="A263" t="str">
        <f>HYPERLINK("./new_k5/query_cmdrels_weight_analyze/0.1_0.6_0.3/so_30251889.xlsx","so_30251889")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0.29166666666666657</v>
      </c>
    </row>
    <row r="264" spans="1:7" x14ac:dyDescent="0.15">
      <c r="A264" t="str">
        <f>HYPERLINK("./new_k5/query_cmdrels_weight_analyze/0.1_0.6_0.3/so_305035.xlsx","so_305035")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HYPERLINK("./new_k5/query_cmdrels_weight_analyze/0.1_0.6_0.3/so_36249744.xlsx","so_36249744")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HYPERLINK("./new_k5/query_cmdrels_weight_analyze/0.1_0.6_0.3/so_3643848.xlsx","so_3643848")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HYPERLINK("./new_k5/query_cmdrels_weight_analyze/0.1_0.6_0.3/so_3667329.xlsx","so_3667329")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HYPERLINK("./new_k5/query_cmdrels_weight_analyze/0.1_0.6_0.3/so_369758.xlsx","so_369758")</f>
        <v>so_369758</v>
      </c>
      <c r="B268">
        <v>0.2</v>
      </c>
      <c r="C268">
        <v>0.2</v>
      </c>
      <c r="D268">
        <v>0.4</v>
      </c>
      <c r="E268">
        <v>0.6</v>
      </c>
      <c r="F268">
        <v>0.4</v>
      </c>
      <c r="G268">
        <v>0.6</v>
      </c>
    </row>
    <row r="269" spans="1:7" x14ac:dyDescent="0.15">
      <c r="A269" t="str">
        <f>HYPERLINK("./new_k5/query_cmdrels_weight_analyze/0.1_0.6_0.3/so_3756323.xlsx","so_3756323")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0.75</v>
      </c>
    </row>
    <row r="270" spans="1:7" x14ac:dyDescent="0.15">
      <c r="A270" t="str">
        <f>HYPERLINK("./new_k5/query_cmdrels_weight_analyze/0.1_0.6_0.3/so_3767267.xlsx","so_3767267")</f>
        <v>so_3767267</v>
      </c>
      <c r="B270">
        <v>0</v>
      </c>
      <c r="C270">
        <v>0</v>
      </c>
      <c r="D270">
        <v>6.6666666666666666E-2</v>
      </c>
      <c r="E270">
        <v>0.23333333333333331</v>
      </c>
      <c r="F270">
        <v>6.6666666666666666E-2</v>
      </c>
      <c r="G270">
        <v>0.23333333333333331</v>
      </c>
    </row>
    <row r="271" spans="1:7" x14ac:dyDescent="0.15">
      <c r="A271" t="str">
        <f>HYPERLINK("./new_k5/query_cmdrels_weight_analyze/0.1_0.6_0.3/so_3833578.xlsx","so_3833578")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HYPERLINK("./new_k5/query_cmdrels_weight_analyze/0.1_0.6_0.3/so_3891076.xlsx","so_3891076")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0.375</v>
      </c>
    </row>
    <row r="273" spans="1:7" x14ac:dyDescent="0.15">
      <c r="A273" t="str">
        <f>HYPERLINK("./new_k5/query_cmdrels_weight_analyze/0.1_0.6_0.3/so_3963085.xlsx","so_3963085")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HYPERLINK("./new_k5/query_cmdrels_weight_analyze/0.1_0.6_0.3/so_4325216.xlsx","so_4325216")</f>
        <v>so_4325216</v>
      </c>
      <c r="B274">
        <v>0.5</v>
      </c>
      <c r="C274">
        <v>0.5</v>
      </c>
      <c r="D274">
        <v>0.5</v>
      </c>
      <c r="E274">
        <v>1</v>
      </c>
      <c r="F274">
        <v>0.5</v>
      </c>
      <c r="G274">
        <v>1</v>
      </c>
    </row>
    <row r="275" spans="1:7" x14ac:dyDescent="0.15">
      <c r="A275" t="str">
        <f>HYPERLINK("./new_k5/query_cmdrels_weight_analyze/0.1_0.6_0.3/so_448005.xlsx","so_448005")</f>
        <v>so_448005</v>
      </c>
      <c r="B275">
        <v>1</v>
      </c>
      <c r="C275">
        <v>0</v>
      </c>
      <c r="D275">
        <v>1</v>
      </c>
      <c r="E275">
        <v>0.33333333333333331</v>
      </c>
      <c r="F275">
        <v>1</v>
      </c>
      <c r="G275">
        <v>0.33333333333333331</v>
      </c>
    </row>
    <row r="276" spans="1:7" x14ac:dyDescent="0.15">
      <c r="A276" t="str">
        <f>HYPERLINK("./new_k5/query_cmdrels_weight_analyze/0.1_0.6_0.3/so_4921879.xlsx","so_4921879")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HYPERLINK("./new_k5/query_cmdrels_weight_analyze/0.1_0.6_0.3/so_4922943.xlsx","so_4922943")</f>
        <v>so_4922943</v>
      </c>
      <c r="B277">
        <v>0.2</v>
      </c>
      <c r="C277">
        <v>0</v>
      </c>
      <c r="D277">
        <v>0.33333333333333331</v>
      </c>
      <c r="E277">
        <v>0.1</v>
      </c>
      <c r="F277">
        <v>0.33333333333333331</v>
      </c>
      <c r="G277">
        <v>0.18</v>
      </c>
    </row>
    <row r="278" spans="1:7" x14ac:dyDescent="0.15">
      <c r="A278" t="str">
        <f>HYPERLINK("./new_k5/query_cmdrels_weight_analyze/0.1_0.6_0.3/so_5119946.xlsx","so_5119946")</f>
        <v>so_5119946</v>
      </c>
      <c r="B278">
        <v>0.5</v>
      </c>
      <c r="C278">
        <v>0</v>
      </c>
      <c r="D278">
        <v>0.5</v>
      </c>
      <c r="E278">
        <v>0</v>
      </c>
      <c r="F278">
        <v>0.5</v>
      </c>
      <c r="G278">
        <v>0</v>
      </c>
    </row>
    <row r="279" spans="1:7" x14ac:dyDescent="0.15">
      <c r="A279" t="str">
        <f>HYPERLINK("./new_k5/query_cmdrels_weight_analyze/0.1_0.6_0.3/so_5164985.xlsx","so_5164985")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HYPERLINK("./new_k5/query_cmdrels_weight_analyze/0.1_0.6_0.3/so_5306153.xlsx","so_5306153")</f>
        <v>so_5306153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15">
      <c r="A281" t="str">
        <f>HYPERLINK("./new_k5/query_cmdrels_weight_analyze/0.1_0.6_0.3/so_5566310.xlsx","so_5566310")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HYPERLINK("./new_k5/query_cmdrels_weight_analyze/0.1_0.6_0.3/so_5927369.xlsx","so_5927369")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HYPERLINK("./new_k5/query_cmdrels_weight_analyze/0.1_0.6_0.3/so_5947742.xlsx","so_5947742")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0.33333333333333331</v>
      </c>
      <c r="F283">
        <v>0.55555555555555547</v>
      </c>
      <c r="G283">
        <v>0.5</v>
      </c>
    </row>
    <row r="284" spans="1:7" x14ac:dyDescent="0.15">
      <c r="A284" t="str">
        <f>HYPERLINK("./new_k5/query_cmdrels_weight_analyze/0.1_0.6_0.3/so_614795.xlsx","so_614795")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HYPERLINK("./new_k5/query_cmdrels_weight_analyze/0.1_0.6_0.3/so_6207573.xlsx","so_6207573")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0.2857142857142857</v>
      </c>
      <c r="F285">
        <v>0.37142857142857139</v>
      </c>
      <c r="G285">
        <v>0.39285714285714279</v>
      </c>
    </row>
    <row r="286" spans="1:7" x14ac:dyDescent="0.15">
      <c r="A286" t="str">
        <f>HYPERLINK("./new_k5/query_cmdrels_weight_analyze/0.1_0.6_0.3/so_6283167.xlsx","so_6283167")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HYPERLINK("./new_k5/query_cmdrels_weight_analyze/0.1_0.6_0.3/so_6329505.xlsx","so_6329505")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HYPERLINK("./new_k5/query_cmdrels_weight_analyze/0.1_0.6_0.3/so_6423532.xlsx","so_6423532")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HYPERLINK("./new_k5/query_cmdrels_weight_analyze/0.1_0.6_0.3/so_669438.xlsx","so_669438")</f>
        <v>so_669438</v>
      </c>
      <c r="B289">
        <v>0.2</v>
      </c>
      <c r="C289">
        <v>0.2</v>
      </c>
      <c r="D289">
        <v>0.6</v>
      </c>
      <c r="E289">
        <v>0.2</v>
      </c>
      <c r="F289">
        <v>0.6</v>
      </c>
      <c r="G289">
        <v>0.2</v>
      </c>
    </row>
    <row r="290" spans="1:7" x14ac:dyDescent="0.15">
      <c r="A290" t="str">
        <f>HYPERLINK("./new_k5/query_cmdrels_weight_analyze/0.1_0.6_0.3/so_7052875.xlsx","so_7052875")</f>
        <v>so_7052875</v>
      </c>
      <c r="B290">
        <v>0.2</v>
      </c>
      <c r="C290">
        <v>0.2</v>
      </c>
      <c r="D290">
        <v>0.2</v>
      </c>
      <c r="E290">
        <v>0.2</v>
      </c>
      <c r="F290">
        <v>0.2</v>
      </c>
      <c r="G290">
        <v>0.3</v>
      </c>
    </row>
    <row r="291" spans="1:7" x14ac:dyDescent="0.15">
      <c r="A291" t="str">
        <f>HYPERLINK("./new_k5/query_cmdrels_weight_analyze/0.1_0.6_0.3/so_7221757.xlsx","so_7221757")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HYPERLINK("./new_k5/query_cmdrels_weight_analyze/0.1_0.6_0.3/so_750604.xlsx","so_750604")</f>
        <v>so_750604</v>
      </c>
      <c r="B292">
        <v>0</v>
      </c>
      <c r="C292">
        <v>0</v>
      </c>
      <c r="D292">
        <v>0.1111111111111111</v>
      </c>
      <c r="E292">
        <v>0</v>
      </c>
      <c r="F292">
        <v>0.1111111111111111</v>
      </c>
      <c r="G292">
        <v>0</v>
      </c>
    </row>
    <row r="293" spans="1:7" x14ac:dyDescent="0.15">
      <c r="A293" t="str">
        <f>HYPERLINK("./new_k5/query_cmdrels_weight_analyze/0.1_0.6_0.3/so_7575267.xlsx","so_7575267")</f>
        <v>so_7575267</v>
      </c>
      <c r="B293">
        <v>0</v>
      </c>
      <c r="C293">
        <v>0.25</v>
      </c>
      <c r="D293">
        <v>0</v>
      </c>
      <c r="E293">
        <v>0.5</v>
      </c>
      <c r="F293">
        <v>0</v>
      </c>
      <c r="G293">
        <v>0.6875</v>
      </c>
    </row>
    <row r="294" spans="1:7" x14ac:dyDescent="0.15">
      <c r="A294" t="str">
        <f>HYPERLINK("./new_k5/query_cmdrels_weight_analyze/0.1_0.6_0.3/so_7698488.xlsx","so_7698488")</f>
        <v>so_7698488</v>
      </c>
      <c r="B294">
        <v>0</v>
      </c>
      <c r="C294">
        <v>0</v>
      </c>
      <c r="D294">
        <v>0</v>
      </c>
      <c r="E294">
        <v>8.3333333333333329E-2</v>
      </c>
      <c r="F294">
        <v>0</v>
      </c>
      <c r="G294">
        <v>0.18333333333333329</v>
      </c>
    </row>
    <row r="295" spans="1:7" x14ac:dyDescent="0.15">
      <c r="A295" t="str">
        <f>HYPERLINK("./new_k5/query_cmdrels_weight_analyze/0.1_0.6_0.3/so_801095.xlsx","so_801095")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0.55555555555555547</v>
      </c>
      <c r="F295">
        <v>0.33333333333333331</v>
      </c>
      <c r="G295">
        <v>0.75555555555555554</v>
      </c>
    </row>
    <row r="296" spans="1:7" x14ac:dyDescent="0.15">
      <c r="A296" t="str">
        <f>HYPERLINK("./new_k5/query_cmdrels_weight_analyze/0.1_0.6_0.3/so_8249705.xlsx","so_8249705")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HYPERLINK("./new_k5/query_cmdrels_weight_analyze/0.1_0.6_0.3/so_8423541.xlsx","so_8423541")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HYPERLINK("./new_k5/query_cmdrels_weight_analyze/0.1_0.6_0.3/so_8654051.xlsx","so_8654051")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HYPERLINK("./new_k5/query_cmdrels_weight_analyze/0.1_0.6_0.3/so_890262.xlsx","so_890262")</f>
        <v>so_890262</v>
      </c>
      <c r="B299">
        <v>0</v>
      </c>
      <c r="C299">
        <v>0</v>
      </c>
      <c r="D299">
        <v>0</v>
      </c>
      <c r="E299">
        <v>0.1111111111111111</v>
      </c>
      <c r="F299">
        <v>0</v>
      </c>
      <c r="G299">
        <v>0.27777777777777768</v>
      </c>
    </row>
    <row r="300" spans="1:7" x14ac:dyDescent="0.15">
      <c r="A300" t="str">
        <f>HYPERLINK("./new_k5/query_cmdrels_weight_analyze/0.1_0.6_0.3/so_893585.xlsx","so_893585")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HYPERLINK("./new_k5/query_cmdrels_weight_analyze/0.1_0.6_0.3/so_9223460.xlsx","so_9223460")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HYPERLINK("./new_k5/query_cmdrels_weight_analyze/0.1_0.6_0.3/so_9245638.xlsx","so_9245638")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HYPERLINK("./new_k5/query_cmdrels_weight_analyze/0.1_0.6_0.3/so_9304953.xlsx","so_9304953")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HYPERLINK("./new_k5/query_cmdrels_weight_analyze/0.1_0.6_0.3/so_9361816.xlsx","so_9361816")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HYPERLINK("./new_k5/query_cmdrels_weight_analyze/0.1_0.6_0.3/su_116617.xlsx","su_116617")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HYPERLINK("./new_k5/query_cmdrels_weight_analyze/0.1_0.6_0.3/su_120045.xlsx","su_120045")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HYPERLINK("./new_k5/query_cmdrels_weight_analyze/0.1_0.6_0.3/su_127863.xlsx","su_127863")</f>
        <v>su_127863</v>
      </c>
      <c r="B307">
        <v>0</v>
      </c>
      <c r="C307">
        <v>0</v>
      </c>
      <c r="D307">
        <v>0.25</v>
      </c>
      <c r="E307">
        <v>0.16666666666666671</v>
      </c>
      <c r="F307">
        <v>0.25</v>
      </c>
      <c r="G307">
        <v>0.3666666666666667</v>
      </c>
    </row>
    <row r="308" spans="1:7" x14ac:dyDescent="0.15">
      <c r="A308" t="str">
        <f>HYPERLINK("./new_k5/query_cmdrels_weight_analyze/0.1_0.6_0.3/su_135498.xlsx","su_135498")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HYPERLINK("./new_k5/query_cmdrels_weight_analyze/0.1_0.6_0.3/su_147027.xlsx","su_147027")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HYPERLINK("./new_k5/query_cmdrels_weight_analyze/0.1_0.6_0.3/su_151911.xlsx","su_151911")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0.05</v>
      </c>
    </row>
    <row r="311" spans="1:7" x14ac:dyDescent="0.15">
      <c r="A311" t="str">
        <f>HYPERLINK("./new_k5/query_cmdrels_weight_analyze/0.1_0.6_0.3/su_153415.xlsx","su_153415")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HYPERLINK("./new_k5/query_cmdrels_weight_analyze/0.1_0.6_0.3/su_156189.xlsx","su_156189")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0.27777777777777768</v>
      </c>
    </row>
    <row r="313" spans="1:7" x14ac:dyDescent="0.15">
      <c r="A313" t="str">
        <f>HYPERLINK("./new_k5/query_cmdrels_weight_analyze/0.1_0.6_0.3/su_161531.xlsx","su_161531")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HYPERLINK("./new_k5/query_cmdrels_weight_analyze/0.1_0.6_0.3/su_204209.xlsx","su_204209")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HYPERLINK("./new_k5/query_cmdrels_weight_analyze/0.1_0.6_0.3/su_214390.xlsx","su_214390")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HYPERLINK("./new_k5/query_cmdrels_weight_analyze/0.1_0.6_0.3/su_215483.xlsx","su_215483")</f>
        <v>su_215483</v>
      </c>
      <c r="B316">
        <v>0.5</v>
      </c>
      <c r="C316">
        <v>0.5</v>
      </c>
      <c r="D316">
        <v>1</v>
      </c>
      <c r="E316">
        <v>0.5</v>
      </c>
      <c r="F316">
        <v>1</v>
      </c>
      <c r="G316">
        <v>0.5</v>
      </c>
    </row>
    <row r="317" spans="1:7" x14ac:dyDescent="0.15">
      <c r="A317" t="str">
        <f>HYPERLINK("./new_k5/query_cmdrels_weight_analyze/0.1_0.6_0.3/su_215504.xlsx","su_215504")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0.44166666666666671</v>
      </c>
    </row>
    <row r="318" spans="1:7" x14ac:dyDescent="0.15">
      <c r="A318" t="str">
        <f>HYPERLINK("./new_k5/query_cmdrels_weight_analyze/0.1_0.6_0.3/su_227385.xlsx","su_227385")</f>
        <v>su_227385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6.25E-2</v>
      </c>
    </row>
    <row r="319" spans="1:7" x14ac:dyDescent="0.15">
      <c r="A319" t="str">
        <f>HYPERLINK("./new_k5/query_cmdrels_weight_analyze/0.1_0.6_0.3/su_273254.xlsx","su_273254")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HYPERLINK("./new_k5/query_cmdrels_weight_analyze/0.1_0.6_0.3/su_294161.xlsx","su_294161")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HYPERLINK("./new_k5/query_cmdrels_weight_analyze/0.1_0.6_0.3/su_302396.xlsx","su_302396")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HYPERLINK("./new_k5/query_cmdrels_weight_analyze/0.1_0.6_0.3/su_303981.xlsx","su_303981")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HYPERLINK("./new_k5/query_cmdrels_weight_analyze/0.1_0.6_0.3/su_305128.xlsx","su_305128")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HYPERLINK("./new_k5/query_cmdrels_weight_analyze/0.1_0.6_0.3/su_31512.xlsx","su_31512")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HYPERLINK("./new_k5/query_cmdrels_weight_analyze/0.1_0.6_0.3/su_380520.xlsx","su_380520")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</v>
      </c>
    </row>
    <row r="326" spans="1:7" x14ac:dyDescent="0.15">
      <c r="A326" t="str">
        <f>HYPERLINK("./new_k5/query_cmdrels_weight_analyze/0.1_0.6_0.3/su_38981.xlsx","su_38981")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0.55555555555555547</v>
      </c>
      <c r="F326">
        <v>0.33333333333333331</v>
      </c>
      <c r="G326">
        <v>0.55555555555555547</v>
      </c>
    </row>
    <row r="327" spans="1:7" x14ac:dyDescent="0.15">
      <c r="A327" t="str">
        <f>HYPERLINK("./new_k5/query_cmdrels_weight_analyze/0.1_0.6_0.3/su_437330.xlsx","su_437330")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HYPERLINK("./new_k5/query_cmdrels_weight_analyze/0.1_0.6_0.3/su_441379.xlsx","su_441379")</f>
        <v>su_441379</v>
      </c>
      <c r="B328">
        <v>0.125</v>
      </c>
      <c r="C328">
        <v>0.125</v>
      </c>
      <c r="D328">
        <v>0.20833333333333329</v>
      </c>
      <c r="E328">
        <v>0.375</v>
      </c>
      <c r="F328">
        <v>0.30208333333333331</v>
      </c>
      <c r="G328">
        <v>0.5</v>
      </c>
    </row>
    <row r="329" spans="1:7" x14ac:dyDescent="0.15">
      <c r="A329" t="str">
        <f>HYPERLINK("./new_k5/query_cmdrels_weight_analyze/0.1_0.6_0.3/su_462788.xlsx","su_462788")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0.22222222222222221</v>
      </c>
      <c r="F329">
        <v>0.30555555555555558</v>
      </c>
      <c r="G329">
        <v>0.30555555555555558</v>
      </c>
    </row>
    <row r="330" spans="1:7" x14ac:dyDescent="0.15">
      <c r="A330" t="str">
        <f>HYPERLINK("./new_k5/query_cmdrels_weight_analyze/0.1_0.6_0.3/su_626606.xlsx","su_626606")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0.5</v>
      </c>
      <c r="F330">
        <v>0.83333333333333337</v>
      </c>
      <c r="G330">
        <v>0.66666666666666663</v>
      </c>
    </row>
    <row r="331" spans="1:7" x14ac:dyDescent="0.15">
      <c r="A331" t="str">
        <f>HYPERLINK("./new_k5/query_cmdrels_weight_analyze/0.1_0.6_0.3/su_634469.xlsx","su_634469")</f>
        <v>su_634469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15">
      <c r="A332" t="str">
        <f>HYPERLINK("./new_k5/query_cmdrels_weight_analyze/0.1_0.6_0.3/su_638616.xlsx","su_638616")</f>
        <v>su_638616</v>
      </c>
      <c r="B332">
        <v>0</v>
      </c>
      <c r="C332">
        <v>0.25</v>
      </c>
      <c r="D332">
        <v>0.125</v>
      </c>
      <c r="E332">
        <v>0.5</v>
      </c>
      <c r="F332">
        <v>0.125</v>
      </c>
      <c r="G332">
        <v>0.5</v>
      </c>
    </row>
    <row r="333" spans="1:7" x14ac:dyDescent="0.15">
      <c r="A333" t="str">
        <f>HYPERLINK("./new_k5/query_cmdrels_weight_analyze/0.1_0.6_0.3/su_678113.xlsx","su_678113")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HYPERLINK("./new_k5/query_cmdrels_weight_analyze/0.1_0.6_0.3/su_686394.xlsx","su_686394")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HYPERLINK("./new_k5/query_cmdrels_weight_analyze/0.1_0.6_0.3/su_716795.xlsx","su_716795")</f>
        <v>su_716795</v>
      </c>
      <c r="B335">
        <v>0.5</v>
      </c>
      <c r="C335">
        <v>0</v>
      </c>
      <c r="D335">
        <v>0.83333333333333326</v>
      </c>
      <c r="E335">
        <v>0</v>
      </c>
      <c r="F335">
        <v>0.83333333333333326</v>
      </c>
      <c r="G335">
        <v>0.125</v>
      </c>
    </row>
    <row r="336" spans="1:7" x14ac:dyDescent="0.15">
      <c r="A336" t="str">
        <f>HYPERLINK("./new_k5/query_cmdrels_weight_analyze/0.1_0.6_0.3/su_758463.xlsx","su_758463")</f>
        <v>su_758463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15">
      <c r="A337" t="str">
        <f>HYPERLINK("./new_k5/query_cmdrels_weight_analyze/0.1_0.6_0.3/su_766437.xlsx","su_766437")</f>
        <v>su_766437</v>
      </c>
      <c r="B337">
        <v>0</v>
      </c>
      <c r="C337">
        <v>0</v>
      </c>
      <c r="D337">
        <v>0</v>
      </c>
      <c r="E337">
        <v>6.6666666666666666E-2</v>
      </c>
      <c r="F337">
        <v>0.05</v>
      </c>
      <c r="G337">
        <v>0.28666666666666663</v>
      </c>
    </row>
    <row r="338" spans="1:7" x14ac:dyDescent="0.15">
      <c r="A338" t="str">
        <f>HYPERLINK("./new_k5/query_cmdrels_weight_analyze/0.1_0.6_0.3/su_904001.xlsx","su_904001")</f>
        <v>su_904001</v>
      </c>
      <c r="B338">
        <v>0.5</v>
      </c>
      <c r="C338">
        <v>0.5</v>
      </c>
      <c r="D338">
        <v>0.5</v>
      </c>
      <c r="E338">
        <v>0.5</v>
      </c>
      <c r="F338">
        <v>0.5</v>
      </c>
      <c r="G338">
        <v>0.5</v>
      </c>
    </row>
    <row r="339" spans="1:7" x14ac:dyDescent="0.15">
      <c r="A339" t="str">
        <f>HYPERLINK("./new_k5/query_cmdrels_weight_analyze/0.1_0.6_0.3/ul_100959.xlsx","ul_100959")</f>
        <v>ul_100959</v>
      </c>
      <c r="B339">
        <v>0</v>
      </c>
      <c r="C339">
        <v>0.5</v>
      </c>
      <c r="D339">
        <v>0.25</v>
      </c>
      <c r="E339">
        <v>0.83333333333333326</v>
      </c>
      <c r="F339">
        <v>0.25</v>
      </c>
      <c r="G339">
        <v>0.83333333333333326</v>
      </c>
    </row>
    <row r="340" spans="1:7" x14ac:dyDescent="0.15">
      <c r="A340" t="str">
        <f>HYPERLINK("./new_k5/query_cmdrels_weight_analyze/0.1_0.6_0.3/ul_101073.xlsx","ul_101073")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0.27777777777777768</v>
      </c>
    </row>
    <row r="341" spans="1:7" x14ac:dyDescent="0.15">
      <c r="A341" t="str">
        <f>HYPERLINK("./new_k5/query_cmdrels_weight_analyze/0.1_0.6_0.3/ul_101237.xlsx","ul_101237")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HYPERLINK("./new_k5/query_cmdrels_weight_analyze/0.1_0.6_0.3/ul_102752.xlsx","ul_102752")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HYPERLINK("./new_k5/query_cmdrels_weight_analyze/0.1_0.6_0.3/ul_108174.xlsx","ul_108174")</f>
        <v>ul_108174</v>
      </c>
      <c r="B343">
        <v>0</v>
      </c>
      <c r="C343">
        <v>0</v>
      </c>
      <c r="D343">
        <v>0.16666666666666671</v>
      </c>
      <c r="E343">
        <v>0</v>
      </c>
      <c r="F343">
        <v>0.16666666666666671</v>
      </c>
      <c r="G343">
        <v>0</v>
      </c>
    </row>
    <row r="344" spans="1:7" x14ac:dyDescent="0.15">
      <c r="A344" t="str">
        <f>HYPERLINK("./new_k5/query_cmdrels_weight_analyze/0.1_0.6_0.3/ul_109536.xlsx","ul_109536")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HYPERLINK("./new_k5/query_cmdrels_weight_analyze/0.1_0.6_0.3/ul_112050.xlsx","ul_112050")</f>
        <v>ul_112050</v>
      </c>
      <c r="B345">
        <v>0</v>
      </c>
      <c r="C345">
        <v>0.25</v>
      </c>
      <c r="D345">
        <v>0.125</v>
      </c>
      <c r="E345">
        <v>0.5</v>
      </c>
      <c r="F345">
        <v>0.125</v>
      </c>
      <c r="G345">
        <v>0.65</v>
      </c>
    </row>
    <row r="346" spans="1:7" x14ac:dyDescent="0.15">
      <c r="A346" t="str">
        <f>HYPERLINK("./new_k5/query_cmdrels_weight_analyze/0.1_0.6_0.3/ul_116070.xlsx","ul_116070")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HYPERLINK("./new_k5/query_cmdrels_weight_analyze/0.1_0.6_0.3/ul_11851.xlsx","ul_11851")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HYPERLINK("./new_k5/query_cmdrels_weight_analyze/0.1_0.6_0.3/ul_119126.xlsx","ul_119126")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HYPERLINK("./new_k5/query_cmdrels_weight_analyze/0.1_0.6_0.3/ul_121718.xlsx","ul_121718")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HYPERLINK("./new_k5/query_cmdrels_weight_analyze/0.1_0.6_0.3/ul_12227.xlsx","ul_12227")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HYPERLINK("./new_k5/query_cmdrels_weight_analyze/0.1_0.6_0.3/ul_12453.xlsx","ul_12453")</f>
        <v>ul_12453</v>
      </c>
      <c r="B351">
        <v>0</v>
      </c>
      <c r="C351">
        <v>0.25</v>
      </c>
      <c r="D351">
        <v>0.125</v>
      </c>
      <c r="E351">
        <v>0.75</v>
      </c>
      <c r="F351">
        <v>0.125</v>
      </c>
      <c r="G351">
        <v>1</v>
      </c>
    </row>
    <row r="352" spans="1:7" x14ac:dyDescent="0.15">
      <c r="A352" t="str">
        <f>HYPERLINK("./new_k5/query_cmdrels_weight_analyze/0.1_0.6_0.3/ul_12535.xlsx","ul_12535")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0.16666666666666671</v>
      </c>
    </row>
    <row r="353" spans="1:7" x14ac:dyDescent="0.15">
      <c r="A353" t="str">
        <f>HYPERLINK("./new_k5/query_cmdrels_weight_analyze/0.1_0.6_0.3/ul_127066.xlsx","ul_127066")</f>
        <v>ul_127066</v>
      </c>
      <c r="B353">
        <v>0.25</v>
      </c>
      <c r="C353">
        <v>0.25</v>
      </c>
      <c r="D353">
        <v>0.25</v>
      </c>
      <c r="E353">
        <v>0.25</v>
      </c>
      <c r="F353">
        <v>0.25</v>
      </c>
      <c r="G353">
        <v>0.25</v>
      </c>
    </row>
    <row r="354" spans="1:7" x14ac:dyDescent="0.15">
      <c r="A354" t="str">
        <f>HYPERLINK("./new_k5/query_cmdrels_weight_analyze/0.1_0.6_0.3/ul_128953.xlsx","ul_128953")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HYPERLINK("./new_k5/query_cmdrels_weight_analyze/0.1_0.6_0.3/ul_134829.xlsx","ul_134829")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0.66666666666666663</v>
      </c>
    </row>
    <row r="356" spans="1:7" x14ac:dyDescent="0.15">
      <c r="A356" t="str">
        <f>HYPERLINK("./new_k5/query_cmdrels_weight_analyze/0.1_0.6_0.3/ul_136371.xlsx","ul_136371")</f>
        <v>ul_136371</v>
      </c>
      <c r="B356">
        <v>0</v>
      </c>
      <c r="C356">
        <v>0</v>
      </c>
      <c r="D356">
        <v>0</v>
      </c>
      <c r="E356">
        <v>0.1111111111111111</v>
      </c>
      <c r="F356">
        <v>0</v>
      </c>
      <c r="G356">
        <v>0.24444444444444449</v>
      </c>
    </row>
    <row r="357" spans="1:7" x14ac:dyDescent="0.15">
      <c r="A357" t="str">
        <f>HYPERLINK("./new_k5/query_cmdrels_weight_analyze/0.1_0.6_0.3/ul_136884.xlsx","ul_136884")</f>
        <v>ul_136884</v>
      </c>
      <c r="B357">
        <v>0</v>
      </c>
      <c r="C357">
        <v>0</v>
      </c>
      <c r="D357">
        <v>0</v>
      </c>
      <c r="E357">
        <v>0.1111111111111111</v>
      </c>
      <c r="F357">
        <v>0</v>
      </c>
      <c r="G357">
        <v>0.1111111111111111</v>
      </c>
    </row>
    <row r="358" spans="1:7" x14ac:dyDescent="0.15">
      <c r="A358" t="str">
        <f>HYPERLINK("./new_k5/query_cmdrels_weight_analyze/0.1_0.6_0.3/ul_138398.xlsx","ul_138398")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HYPERLINK("./new_k5/query_cmdrels_weight_analyze/0.1_0.6_0.3/ul_139271.xlsx","ul_139271")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0.5</v>
      </c>
      <c r="F359">
        <v>0.33333333333333331</v>
      </c>
      <c r="G359">
        <v>0.5</v>
      </c>
    </row>
    <row r="360" spans="1:7" x14ac:dyDescent="0.15">
      <c r="A360" t="str">
        <f>HYPERLINK("./new_k5/query_cmdrels_weight_analyze/0.1_0.6_0.3/ul_140482.xlsx","ul_140482")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HYPERLINK("./new_k5/query_cmdrels_weight_analyze/0.1_0.6_0.3/ul_14191.xlsx","ul_14191")</f>
        <v>ul_14191</v>
      </c>
      <c r="B361">
        <v>0.33333333333333331</v>
      </c>
      <c r="C361">
        <v>0</v>
      </c>
      <c r="D361">
        <v>0.55555555555555547</v>
      </c>
      <c r="E361">
        <v>0</v>
      </c>
      <c r="F361">
        <v>0.55555555555555547</v>
      </c>
      <c r="G361">
        <v>0.2166666666666667</v>
      </c>
    </row>
    <row r="362" spans="1:7" x14ac:dyDescent="0.15">
      <c r="A362" t="str">
        <f>HYPERLINK("./new_k5/query_cmdrels_weight_analyze/0.1_0.6_0.3/ul_145929.xlsx","ul_145929")</f>
        <v>ul_145929</v>
      </c>
      <c r="B362">
        <v>0</v>
      </c>
      <c r="C362">
        <v>0</v>
      </c>
      <c r="D362">
        <v>0.16666666666666671</v>
      </c>
      <c r="E362">
        <v>0.25</v>
      </c>
      <c r="F362">
        <v>0.16666666666666671</v>
      </c>
      <c r="G362">
        <v>0.5</v>
      </c>
    </row>
    <row r="363" spans="1:7" x14ac:dyDescent="0.15">
      <c r="A363" t="str">
        <f>HYPERLINK("./new_k5/query_cmdrels_weight_analyze/0.1_0.6_0.3/ul_148985.xlsx","ul_148985")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HYPERLINK("./new_k5/query_cmdrels_weight_analyze/0.1_0.6_0.3/ul_15405.xlsx","ul_15405")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HYPERLINK("./new_k5/query_cmdrels_weight_analyze/0.1_0.6_0.3/ul_155551.xlsx","ul_155551")</f>
        <v>ul_155551</v>
      </c>
      <c r="B365">
        <v>0</v>
      </c>
      <c r="C365">
        <v>0.5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HYPERLINK("./new_k5/query_cmdrels_weight_analyze/0.1_0.6_0.3/ul_159672.xlsx","ul_159672")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HYPERLINK("./new_k5/query_cmdrels_weight_analyze/0.1_0.6_0.3/ul_163845.xlsx","ul_163845")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0.29166666666666657</v>
      </c>
    </row>
    <row r="368" spans="1:7" x14ac:dyDescent="0.15">
      <c r="A368" t="str">
        <f>HYPERLINK("./new_k5/query_cmdrels_weight_analyze/0.1_0.6_0.3/ul_16407.xlsx","ul_16407")</f>
        <v>ul_16407</v>
      </c>
      <c r="B368">
        <v>0.5</v>
      </c>
      <c r="C368">
        <v>0</v>
      </c>
      <c r="D368">
        <v>0.5</v>
      </c>
      <c r="E368">
        <v>0.25</v>
      </c>
      <c r="F368">
        <v>0.75</v>
      </c>
      <c r="G368">
        <v>0.25</v>
      </c>
    </row>
    <row r="369" spans="1:7" x14ac:dyDescent="0.15">
      <c r="A369" t="str">
        <f>HYPERLINK("./new_k5/query_cmdrels_weight_analyze/0.1_0.6_0.3/ul_166558.xlsx","ul_166558")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HYPERLINK("./new_k5/query_cmdrels_weight_analyze/0.1_0.6_0.3/ul_171314.xlsx","ul_171314")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0.25</v>
      </c>
    </row>
    <row r="371" spans="1:7" x14ac:dyDescent="0.15">
      <c r="A371" t="str">
        <f>HYPERLINK("./new_k5/query_cmdrels_weight_analyze/0.1_0.6_0.3/ul_182032.xlsx","ul_182032")</f>
        <v>ul_182032</v>
      </c>
      <c r="B371">
        <v>1</v>
      </c>
      <c r="C371">
        <v>0</v>
      </c>
      <c r="D371">
        <v>1</v>
      </c>
      <c r="E371">
        <v>0.5</v>
      </c>
      <c r="F371">
        <v>1</v>
      </c>
      <c r="G371">
        <v>0.5</v>
      </c>
    </row>
    <row r="372" spans="1:7" x14ac:dyDescent="0.15">
      <c r="A372" t="str">
        <f>HYPERLINK("./new_k5/query_cmdrels_weight_analyze/0.1_0.6_0.3/ul_19344.xlsx","ul_19344")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HYPERLINK("./new_k5/query_cmdrels_weight_analyze/0.1_0.6_0.3/ul_19369.xlsx","ul_19369")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HYPERLINK("./new_k5/query_cmdrels_weight_analyze/0.1_0.6_0.3/ul_19485.xlsx","ul_19485")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HYPERLINK("./new_k5/query_cmdrels_weight_analyze/0.1_0.6_0.3/ul_20370.xlsx","ul_20370")</f>
        <v>ul_20370</v>
      </c>
      <c r="B375">
        <v>0</v>
      </c>
      <c r="C375">
        <v>0</v>
      </c>
      <c r="D375">
        <v>0</v>
      </c>
      <c r="E375">
        <v>0.16666666666666671</v>
      </c>
      <c r="F375">
        <v>0</v>
      </c>
      <c r="G375">
        <v>0.16666666666666671</v>
      </c>
    </row>
    <row r="376" spans="1:7" x14ac:dyDescent="0.15">
      <c r="A376" t="str">
        <f>HYPERLINK("./new_k5/query_cmdrels_weight_analyze/0.1_0.6_0.3/ul_211817.xlsx","ul_211817")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HYPERLINK("./new_k5/query_cmdrels_weight_analyze/0.1_0.6_0.3/ul_212925.xlsx","ul_212925")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HYPERLINK("./new_k5/query_cmdrels_weight_analyze/0.1_0.6_0.3/ul_21471.xlsx","ul_21471")</f>
        <v>ul_21471</v>
      </c>
      <c r="B378">
        <v>0</v>
      </c>
      <c r="C378">
        <v>0</v>
      </c>
      <c r="D378">
        <v>0</v>
      </c>
      <c r="E378">
        <v>0</v>
      </c>
      <c r="F378">
        <v>8.3333333333333329E-2</v>
      </c>
      <c r="G378">
        <v>0</v>
      </c>
    </row>
    <row r="379" spans="1:7" x14ac:dyDescent="0.15">
      <c r="A379" t="str">
        <f>HYPERLINK("./new_k5/query_cmdrels_weight_analyze/0.1_0.6_0.3/ul_22545.xlsx","ul_22545")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HYPERLINK("./new_k5/query_cmdrels_weight_analyze/0.1_0.6_0.3/ul_230481.xlsx","ul_230481")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HYPERLINK("./new_k5/query_cmdrels_weight_analyze/0.1_0.6_0.3/ul_230673.xlsx","ul_230673")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0.45</v>
      </c>
    </row>
    <row r="382" spans="1:7" x14ac:dyDescent="0.15">
      <c r="A382" t="str">
        <f>HYPERLINK("./new_k5/query_cmdrels_weight_analyze/0.1_0.6_0.3/ul_230800.xlsx","ul_230800")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HYPERLINK("./new_k5/query_cmdrels_weight_analyze/0.1_0.6_0.3/ul_232384.xlsx","ul_232384")</f>
        <v>ul_232384</v>
      </c>
      <c r="B383">
        <v>0</v>
      </c>
      <c r="C383">
        <v>0.5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HYPERLINK("./new_k5/query_cmdrels_weight_analyze/0.1_0.6_0.3/ul_24441.xlsx","ul_24441")</f>
        <v>ul_24441</v>
      </c>
      <c r="B384">
        <v>0</v>
      </c>
      <c r="C384">
        <v>0.5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HYPERLINK("./new_k5/query_cmdrels_weight_analyze/0.1_0.6_0.3/ul_246535.xlsx","ul_246535")</f>
        <v>ul_246535</v>
      </c>
      <c r="B385">
        <v>0.2</v>
      </c>
      <c r="C385">
        <v>0.2</v>
      </c>
      <c r="D385">
        <v>0.2</v>
      </c>
      <c r="E385">
        <v>0.33333333333333331</v>
      </c>
      <c r="F385">
        <v>0.2</v>
      </c>
      <c r="G385">
        <v>0.45333333333333331</v>
      </c>
    </row>
    <row r="386" spans="1:7" x14ac:dyDescent="0.15">
      <c r="A386" t="str">
        <f>HYPERLINK("./new_k5/query_cmdrels_weight_analyze/0.1_0.6_0.3/ul_259791.xlsx","ul_259791")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HYPERLINK("./new_k5/query_cmdrels_weight_analyze/0.1_0.6_0.3/ul_273971.xlsx","ul_273971")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0.33333333333333331</v>
      </c>
      <c r="F387">
        <v>0.43333333333333329</v>
      </c>
      <c r="G387">
        <v>0.45833333333333331</v>
      </c>
    </row>
    <row r="388" spans="1:7" x14ac:dyDescent="0.15">
      <c r="A388" t="str">
        <f>HYPERLINK("./new_k5/query_cmdrels_weight_analyze/0.1_0.6_0.3/ul_28553.xlsx","ul_28553")</f>
        <v>ul_28553</v>
      </c>
      <c r="B388">
        <v>0.25</v>
      </c>
      <c r="C388">
        <v>0.25</v>
      </c>
      <c r="D388">
        <v>0.5</v>
      </c>
      <c r="E388">
        <v>0.25</v>
      </c>
      <c r="F388">
        <v>0.5</v>
      </c>
      <c r="G388">
        <v>0.25</v>
      </c>
    </row>
    <row r="389" spans="1:7" x14ac:dyDescent="0.15">
      <c r="A389" t="str">
        <f>HYPERLINK("./new_k5/query_cmdrels_weight_analyze/0.1_0.6_0.3/ul_288521.xlsx","ul_288521")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HYPERLINK("./new_k5/query_cmdrels_weight_analyze/0.1_0.6_0.3/ul_32290.xlsx","ul_32290")</f>
        <v>ul_32290</v>
      </c>
      <c r="B390">
        <v>0</v>
      </c>
      <c r="C390">
        <v>0</v>
      </c>
      <c r="D390">
        <v>0</v>
      </c>
      <c r="E390">
        <v>8.3333333333333329E-2</v>
      </c>
      <c r="F390">
        <v>0</v>
      </c>
      <c r="G390">
        <v>8.3333333333333329E-2</v>
      </c>
    </row>
    <row r="391" spans="1:7" x14ac:dyDescent="0.15">
      <c r="A391" t="str">
        <f>HYPERLINK("./new_k5/query_cmdrels_weight_analyze/0.1_0.6_0.3/ul_328882.xlsx","ul_328882")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HYPERLINK("./new_k5/query_cmdrels_weight_analyze/0.1_0.6_0.3/ul_35131.xlsx","ul_35131")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0.66666666666666663</v>
      </c>
    </row>
    <row r="393" spans="1:7" x14ac:dyDescent="0.15">
      <c r="A393" t="str">
        <f>HYPERLINK("./new_k5/query_cmdrels_weight_analyze/0.1_0.6_0.3/ul_35333.xlsx","ul_35333")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HYPERLINK("./new_k5/query_cmdrels_weight_analyze/0.1_0.6_0.3/ul_35711.xlsx","ul_35711")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HYPERLINK("./new_k5/query_cmdrels_weight_analyze/0.1_0.6_0.3/ul_3575.xlsx","ul_3575")</f>
        <v>ul_3575</v>
      </c>
      <c r="B395">
        <v>0</v>
      </c>
      <c r="C395">
        <v>0</v>
      </c>
      <c r="D395">
        <v>8.3333333333333329E-2</v>
      </c>
      <c r="E395">
        <v>0</v>
      </c>
      <c r="F395">
        <v>8.3333333333333329E-2</v>
      </c>
      <c r="G395">
        <v>3.3333333333333333E-2</v>
      </c>
    </row>
    <row r="396" spans="1:7" x14ac:dyDescent="0.15">
      <c r="A396" t="str">
        <f>HYPERLINK("./new_k5/query_cmdrels_weight_analyze/0.1_0.6_0.3/ul_35832.xlsx","ul_35832")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HYPERLINK("./new_k5/query_cmdrels_weight_analyze/0.1_0.6_0.3/ul_370318.xlsx","ul_370318")</f>
        <v>ul_370318</v>
      </c>
      <c r="B397">
        <v>0.14285714285714279</v>
      </c>
      <c r="C397">
        <v>0</v>
      </c>
      <c r="D397">
        <v>0.14285714285714279</v>
      </c>
      <c r="E397">
        <v>0</v>
      </c>
      <c r="F397">
        <v>0.14285714285714279</v>
      </c>
      <c r="G397">
        <v>0</v>
      </c>
    </row>
    <row r="398" spans="1:7" x14ac:dyDescent="0.15">
      <c r="A398" t="str">
        <f>HYPERLINK("./new_k5/query_cmdrels_weight_analyze/0.1_0.6_0.3/ul_37329.xlsx","ul_37329")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0.66666666666666663</v>
      </c>
      <c r="F398">
        <v>0.33333333333333331</v>
      </c>
      <c r="G398">
        <v>0.66666666666666663</v>
      </c>
    </row>
    <row r="399" spans="1:7" x14ac:dyDescent="0.15">
      <c r="A399" t="str">
        <f>HYPERLINK("./new_k5/query_cmdrels_weight_analyze/0.1_0.6_0.3/ul_38209.xlsx","ul_38209")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HYPERLINK("./new_k5/query_cmdrels_weight_analyze/0.1_0.6_0.3/ul_41246.xlsx","ul_41246")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HYPERLINK("./new_k5/query_cmdrels_weight_analyze/0.1_0.6_0.3/ul_41362.xlsx","ul_41362")</f>
        <v>ul_41362</v>
      </c>
      <c r="B401">
        <v>0</v>
      </c>
      <c r="C401">
        <v>0</v>
      </c>
      <c r="D401">
        <v>0</v>
      </c>
      <c r="E401">
        <v>8.3333333333333329E-2</v>
      </c>
      <c r="F401">
        <v>0</v>
      </c>
      <c r="G401">
        <v>8.3333333333333329E-2</v>
      </c>
    </row>
    <row r="402" spans="1:7" x14ac:dyDescent="0.15">
      <c r="A402" t="str">
        <f>HYPERLINK("./new_k5/query_cmdrels_weight_analyze/0.1_0.6_0.3/ul_48200.xlsx","ul_48200")</f>
        <v>ul_48200</v>
      </c>
      <c r="B402">
        <v>0</v>
      </c>
      <c r="C402">
        <v>0.5</v>
      </c>
      <c r="D402">
        <v>0</v>
      </c>
      <c r="E402">
        <v>0.5</v>
      </c>
      <c r="F402">
        <v>0</v>
      </c>
      <c r="G402">
        <v>0.5</v>
      </c>
    </row>
    <row r="403" spans="1:7" x14ac:dyDescent="0.15">
      <c r="A403" t="str">
        <f>HYPERLINK("./new_k5/query_cmdrels_weight_analyze/0.1_0.6_0.3/ul_50098.xlsx","ul_50098")</f>
        <v>ul_50098</v>
      </c>
      <c r="B403">
        <v>0</v>
      </c>
      <c r="C403">
        <v>0</v>
      </c>
      <c r="D403">
        <v>0.1166666666666667</v>
      </c>
      <c r="E403">
        <v>0.05</v>
      </c>
      <c r="F403">
        <v>0.1166666666666667</v>
      </c>
      <c r="G403">
        <v>0.1</v>
      </c>
    </row>
    <row r="404" spans="1:7" x14ac:dyDescent="0.15">
      <c r="A404" t="str">
        <f>HYPERLINK("./new_k5/query_cmdrels_weight_analyze/0.1_0.6_0.3/ul_50785.xlsx","ul_50785")</f>
        <v>ul_50785</v>
      </c>
      <c r="B404">
        <v>0.25</v>
      </c>
      <c r="C404">
        <v>0.25</v>
      </c>
      <c r="D404">
        <v>0.25</v>
      </c>
      <c r="E404">
        <v>0.5</v>
      </c>
      <c r="F404">
        <v>0.25</v>
      </c>
      <c r="G404">
        <v>0.5</v>
      </c>
    </row>
    <row r="405" spans="1:7" x14ac:dyDescent="0.15">
      <c r="A405" t="str">
        <f>HYPERLINK("./new_k5/query_cmdrels_weight_analyze/0.1_0.6_0.3/ul_5085.xlsx","ul_5085")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HYPERLINK("./new_k5/query_cmdrels_weight_analyze/0.1_0.6_0.3/ul_53737.xlsx","ul_53737")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HYPERLINK("./new_k5/query_cmdrels_weight_analyze/0.1_0.6_0.3/ul_55125.xlsx","ul_55125")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HYPERLINK("./new_k5/query_cmdrels_weight_analyze/0.1_0.6_0.3/ul_56453.xlsx","ul_56453")</f>
        <v>ul_56453</v>
      </c>
      <c r="B408">
        <v>0</v>
      </c>
      <c r="C408">
        <v>0.25</v>
      </c>
      <c r="D408">
        <v>8.3333333333333329E-2</v>
      </c>
      <c r="E408">
        <v>0.25</v>
      </c>
      <c r="F408">
        <v>8.3333333333333329E-2</v>
      </c>
      <c r="G408">
        <v>0.25</v>
      </c>
    </row>
    <row r="409" spans="1:7" x14ac:dyDescent="0.15">
      <c r="A409" t="str">
        <f>HYPERLINK("./new_k5/query_cmdrels_weight_analyze/0.1_0.6_0.3/ul_63648.xlsx","ul_63648")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HYPERLINK("./new_k5/query_cmdrels_weight_analyze/0.1_0.6_0.3/ul_6402.xlsx","ul_6402")</f>
        <v>ul_6402</v>
      </c>
      <c r="B410">
        <v>0.33333333333333331</v>
      </c>
      <c r="C410">
        <v>0</v>
      </c>
      <c r="D410">
        <v>0.33333333333333331</v>
      </c>
      <c r="E410">
        <v>0.16666666666666671</v>
      </c>
      <c r="F410">
        <v>0.33333333333333331</v>
      </c>
      <c r="G410">
        <v>0.16666666666666671</v>
      </c>
    </row>
    <row r="411" spans="1:7" x14ac:dyDescent="0.15">
      <c r="A411" t="str">
        <f>HYPERLINK("./new_k5/query_cmdrels_weight_analyze/0.1_0.6_0.3/ul_65106.xlsx","ul_65106")</f>
        <v>ul_65106</v>
      </c>
      <c r="B411">
        <v>0.33333333333333331</v>
      </c>
      <c r="C411">
        <v>0.33333333333333331</v>
      </c>
      <c r="D411">
        <v>1</v>
      </c>
      <c r="E411">
        <v>0.33333333333333331</v>
      </c>
      <c r="F411">
        <v>1</v>
      </c>
      <c r="G411">
        <v>0.33333333333333331</v>
      </c>
    </row>
    <row r="412" spans="1:7" x14ac:dyDescent="0.15">
      <c r="A412" t="str">
        <f>HYPERLINK("./new_k5/query_cmdrels_weight_analyze/0.1_0.6_0.3/ul_65932.xlsx","ul_65932")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HYPERLINK("./new_k5/query_cmdrels_weight_analyze/0.1_0.6_0.3/ul_6596.xlsx","ul_6596")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HYPERLINK("./new_k5/query_cmdrels_weight_analyze/0.1_0.6_0.3/ul_67503.xlsx","ul_67503")</f>
        <v>ul_67503</v>
      </c>
      <c r="B414">
        <v>0</v>
      </c>
      <c r="C414">
        <v>0.5</v>
      </c>
      <c r="D414">
        <v>0.25</v>
      </c>
      <c r="E414">
        <v>0.5</v>
      </c>
      <c r="F414">
        <v>0.5</v>
      </c>
      <c r="G414">
        <v>0.5</v>
      </c>
    </row>
    <row r="415" spans="1:7" x14ac:dyDescent="0.15">
      <c r="A415" t="str">
        <f>HYPERLINK("./new_k5/query_cmdrels_weight_analyze/0.1_0.6_0.3/ul_67592.xlsx","ul_67592")</f>
        <v>ul_67592</v>
      </c>
      <c r="B415">
        <v>0.33333333333333331</v>
      </c>
      <c r="C415">
        <v>0</v>
      </c>
      <c r="D415">
        <v>0.33333333333333331</v>
      </c>
      <c r="E415">
        <v>0</v>
      </c>
      <c r="F415">
        <v>0.33333333333333331</v>
      </c>
      <c r="G415">
        <v>8.3333333333333329E-2</v>
      </c>
    </row>
    <row r="416" spans="1:7" x14ac:dyDescent="0.15">
      <c r="A416" t="str">
        <f>HYPERLINK("./new_k5/query_cmdrels_weight_analyze/0.1_0.6_0.3/ul_70581.xlsx","ul_70581")</f>
        <v>ul_70581</v>
      </c>
      <c r="B416">
        <v>0</v>
      </c>
      <c r="C416">
        <v>0</v>
      </c>
      <c r="D416">
        <v>0.1</v>
      </c>
      <c r="E416">
        <v>0.23333333333333331</v>
      </c>
      <c r="F416">
        <v>0.1</v>
      </c>
      <c r="G416">
        <v>0.3833333333333333</v>
      </c>
    </row>
    <row r="417" spans="1:7" x14ac:dyDescent="0.15">
      <c r="A417" t="str">
        <f>HYPERLINK("./new_k5/query_cmdrels_weight_analyze/0.1_0.6_0.3/ul_70614.xlsx","ul_70614")</f>
        <v>ul_70614</v>
      </c>
      <c r="B417">
        <v>1</v>
      </c>
      <c r="C417">
        <v>0</v>
      </c>
      <c r="D417">
        <v>1</v>
      </c>
      <c r="E417">
        <v>0</v>
      </c>
      <c r="F417">
        <v>1</v>
      </c>
      <c r="G417">
        <v>0.25</v>
      </c>
    </row>
    <row r="418" spans="1:7" x14ac:dyDescent="0.15">
      <c r="A418" t="str">
        <f>HYPERLINK("./new_k5/query_cmdrels_weight_analyze/0.1_0.6_0.3/ul_71465.xlsx","ul_71465")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HYPERLINK("./new_k5/query_cmdrels_weight_analyze/0.1_0.6_0.3/ul_7226.xlsx","ul_7226")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0.33333333333333331</v>
      </c>
      <c r="F419">
        <v>0.33333333333333331</v>
      </c>
      <c r="G419">
        <v>0.5</v>
      </c>
    </row>
    <row r="420" spans="1:7" x14ac:dyDescent="0.15">
      <c r="A420" t="str">
        <f>HYPERLINK("./new_k5/query_cmdrels_weight_analyze/0.1_0.6_0.3/ul_78182.xlsx","ul_78182")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</v>
      </c>
    </row>
    <row r="421" spans="1:7" x14ac:dyDescent="0.15">
      <c r="A421" t="str">
        <f>HYPERLINK("./new_k5/query_cmdrels_weight_analyze/0.1_0.6_0.3/ul_79678.xlsx","ul_79678")</f>
        <v>ul_79678</v>
      </c>
      <c r="B421">
        <v>0</v>
      </c>
      <c r="C421">
        <v>0</v>
      </c>
      <c r="D421">
        <v>0.25</v>
      </c>
      <c r="E421">
        <v>0.25</v>
      </c>
      <c r="F421">
        <v>0.25</v>
      </c>
      <c r="G421">
        <v>0.25</v>
      </c>
    </row>
    <row r="422" spans="1:7" x14ac:dyDescent="0.15">
      <c r="A422" t="str">
        <f>HYPERLINK("./new_k5/query_cmdrels_weight_analyze/0.1_0.6_0.3/ul_79702.xlsx","ul_79702")</f>
        <v>ul_79702</v>
      </c>
      <c r="B422">
        <v>0</v>
      </c>
      <c r="C422">
        <v>0.33333333333333331</v>
      </c>
      <c r="D422">
        <v>0</v>
      </c>
      <c r="E422">
        <v>0.55555555555555547</v>
      </c>
      <c r="F422">
        <v>0</v>
      </c>
      <c r="G422">
        <v>0.75555555555555554</v>
      </c>
    </row>
    <row r="423" spans="1:7" x14ac:dyDescent="0.15">
      <c r="A423" t="str">
        <f>HYPERLINK("./new_k5/query_cmdrels_weight_analyze/0.1_0.6_0.3/ul_83593.xlsx","ul_83593")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HYPERLINK("./new_k5/query_cmdrels_weight_analyze/0.1_0.6_0.3/ul_84381.xlsx","ul_84381")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HYPERLINK("./new_k5/query_cmdrels_weight_analyze/0.1_0.6_0.3/ul_85180.xlsx","ul_85180")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0.27777777777777768</v>
      </c>
    </row>
    <row r="426" spans="1:7" x14ac:dyDescent="0.15">
      <c r="A426" t="str">
        <f>HYPERLINK("./new_k5/query_cmdrels_weight_analyze/0.1_0.6_0.3/ul_86071.xlsx","ul_86071")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HYPERLINK("./new_k5/query_cmdrels_weight_analyze/0.1_0.6_0.3/ul_86729.xlsx","ul_86729")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HYPERLINK("./new_k5/query_cmdrels_weight_analyze/0.1_0.6_0.3/ul_88824.xlsx","ul_88824")</f>
        <v>ul_88824</v>
      </c>
      <c r="B428">
        <v>0</v>
      </c>
      <c r="C428">
        <v>0.33333333333333331</v>
      </c>
      <c r="D428">
        <v>0</v>
      </c>
      <c r="E428">
        <v>0.55555555555555547</v>
      </c>
      <c r="F428">
        <v>0</v>
      </c>
      <c r="G428">
        <v>0.55555555555555547</v>
      </c>
    </row>
    <row r="429" spans="1:7" x14ac:dyDescent="0.15">
      <c r="A429" t="str">
        <f>HYPERLINK("./new_k5/query_cmdrels_weight_analyze/0.1_0.6_0.3/ul_8945.xlsx","ul_8945")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HYPERLINK("./new_k5/query_cmdrels_weight_analyze/0.1_0.6_0.3/ul_89933.xlsx","ul_89933")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HYPERLINK("./new_k5/query_cmdrels_weight_analyze/0.1_0.6_0.3/ul_91297.xlsx","ul_91297")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HYPERLINK("./new_k5/query_cmdrels_weight_analyze/0.1_0.6_0.3/ul_9252.xlsx","ul_9252")</f>
        <v>ul_9252</v>
      </c>
      <c r="B432">
        <v>0</v>
      </c>
      <c r="C432">
        <v>0</v>
      </c>
      <c r="D432">
        <v>0.23333333333333331</v>
      </c>
      <c r="E432">
        <v>6.6666666666666666E-2</v>
      </c>
      <c r="F432">
        <v>0.23333333333333331</v>
      </c>
      <c r="G432">
        <v>0.1466666666666667</v>
      </c>
    </row>
    <row r="433" spans="1:7" x14ac:dyDescent="0.15">
      <c r="A433" t="str">
        <f>HYPERLINK("./new_k5/query_cmdrels_weight_analyze/0.1_0.6_0.3/ul_92560.xlsx","ul_92560")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0.5</v>
      </c>
    </row>
    <row r="434" spans="1:7" x14ac:dyDescent="0.15">
      <c r="A434" t="str">
        <f>HYPERLINK("./new_k5/query_cmdrels_weight_analyze/0.1_0.6_0.3/ul_92799.xlsx","ul_92799")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0.5</v>
      </c>
      <c r="F434">
        <v>0.53611111111111109</v>
      </c>
      <c r="G434">
        <v>0.66666666666666663</v>
      </c>
    </row>
    <row r="435" spans="1:7" x14ac:dyDescent="0.15">
      <c r="A435" t="str">
        <f>HYPERLINK("./new_k5/query_cmdrels_weight_analyze/0.1_0.6_0.3/ul_93139.xlsx","ul_93139")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HYPERLINK("./new_k5/query_cmdrels_weight_analyze/0.1_0.6_0.3/ul_98461.xlsx","ul_98461")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HYPERLINK("./new_k5/query_cmdrels_weight_analyze/0.1_0.7_0.2/au_102733.xlsx","au_102733")</f>
        <v>au_102733</v>
      </c>
      <c r="B3">
        <v>0.25</v>
      </c>
      <c r="C3">
        <v>0.25</v>
      </c>
      <c r="D3">
        <v>0.5</v>
      </c>
      <c r="E3">
        <v>0.25</v>
      </c>
      <c r="F3">
        <v>0.5</v>
      </c>
      <c r="G3">
        <v>0.25</v>
      </c>
    </row>
    <row r="4" spans="1:7" x14ac:dyDescent="0.15">
      <c r="A4" t="str">
        <f>HYPERLINK("./new_k5/query_cmdrels_weight_analyze/0.1_0.7_0.2/au_1029436.xlsx","au_1029436")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HYPERLINK("./new_k5/query_cmdrels_weight_analyze/0.1_0.7_0.2/au_1029502.xlsx","au_1029502")</f>
        <v>au_1029502</v>
      </c>
      <c r="B5">
        <v>0.25</v>
      </c>
      <c r="C5">
        <v>0.25</v>
      </c>
      <c r="D5">
        <v>0.25</v>
      </c>
      <c r="E5">
        <v>0.25</v>
      </c>
      <c r="F5">
        <v>0.375</v>
      </c>
      <c r="G5">
        <v>0.25</v>
      </c>
    </row>
    <row r="6" spans="1:7" x14ac:dyDescent="0.15">
      <c r="A6" t="str">
        <f>HYPERLINK("./new_k5/query_cmdrels_weight_analyze/0.1_0.7_0.2/au_1029531.xlsx","au_1029531")</f>
        <v>au_1029531</v>
      </c>
      <c r="B6">
        <v>0.33333333333333331</v>
      </c>
      <c r="C6">
        <v>0</v>
      </c>
      <c r="D6">
        <v>0.33333333333333331</v>
      </c>
      <c r="E6">
        <v>0</v>
      </c>
      <c r="F6">
        <v>0.46666666666666662</v>
      </c>
      <c r="G6">
        <v>0</v>
      </c>
    </row>
    <row r="7" spans="1:7" x14ac:dyDescent="0.15">
      <c r="A7" t="str">
        <f>HYPERLINK("./new_k5/query_cmdrels_weight_analyze/0.1_0.7_0.2/au_104542.xlsx","au_104542")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HYPERLINK("./new_k5/query_cmdrels_weight_analyze/0.1_0.7_0.2/au_109070.xlsx","au_109070")</f>
        <v>au_109070</v>
      </c>
      <c r="B8">
        <v>0</v>
      </c>
      <c r="C8">
        <v>0</v>
      </c>
      <c r="D8">
        <v>0.23333333333333331</v>
      </c>
      <c r="E8">
        <v>0</v>
      </c>
      <c r="F8">
        <v>0.3833333333333333</v>
      </c>
      <c r="G8">
        <v>0.04</v>
      </c>
    </row>
    <row r="9" spans="1:7" x14ac:dyDescent="0.15">
      <c r="A9" t="str">
        <f>HYPERLINK("./new_k5/query_cmdrels_weight_analyze/0.1_0.7_0.2/au_109381.xlsx","au_109381")</f>
        <v>au_109381</v>
      </c>
      <c r="B9">
        <v>0</v>
      </c>
      <c r="C9">
        <v>0.5</v>
      </c>
      <c r="D9">
        <v>0.25</v>
      </c>
      <c r="E9">
        <v>0.83333333333333326</v>
      </c>
      <c r="F9">
        <v>0.25</v>
      </c>
      <c r="G9">
        <v>0.83333333333333326</v>
      </c>
    </row>
    <row r="10" spans="1:7" x14ac:dyDescent="0.15">
      <c r="A10" t="str">
        <f>HYPERLINK("./new_k5/query_cmdrels_weight_analyze/0.1_0.7_0.2/au_110477.xlsx","au_110477")</f>
        <v>au_110477</v>
      </c>
      <c r="B10">
        <v>0.25</v>
      </c>
      <c r="C10">
        <v>0.25</v>
      </c>
      <c r="D10">
        <v>0.5</v>
      </c>
      <c r="E10">
        <v>0.41666666666666657</v>
      </c>
      <c r="F10">
        <v>0.5</v>
      </c>
      <c r="G10">
        <v>0.60416666666666663</v>
      </c>
    </row>
    <row r="11" spans="1:7" x14ac:dyDescent="0.15">
      <c r="A11" t="str">
        <f>HYPERLINK("./new_k5/query_cmdrels_weight_analyze/0.1_0.7_0.2/au_111678.xlsx","au_111678")</f>
        <v>au_111678</v>
      </c>
      <c r="B11">
        <v>0</v>
      </c>
      <c r="C11">
        <v>0</v>
      </c>
      <c r="D11">
        <v>0.1111111111111111</v>
      </c>
      <c r="E11">
        <v>0.1111111111111111</v>
      </c>
      <c r="F11">
        <v>0.1111111111111111</v>
      </c>
      <c r="G11">
        <v>0.1111111111111111</v>
      </c>
    </row>
    <row r="12" spans="1:7" x14ac:dyDescent="0.15">
      <c r="A12" t="str">
        <f>HYPERLINK("./new_k5/query_cmdrels_weight_analyze/0.1_0.7_0.2/au_112512.xlsx","au_112512")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HYPERLINK("./new_k5/query_cmdrels_weight_analyze/0.1_0.7_0.2/au_115369.xlsx","au_115369")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HYPERLINK("./new_k5/query_cmdrels_weight_analyze/0.1_0.7_0.2/au_11789.xlsx","au_11789")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HYPERLINK("./new_k5/query_cmdrels_weight_analyze/0.1_0.7_0.2/au_117950.xlsx","au_117950")</f>
        <v>au_117950</v>
      </c>
      <c r="B15">
        <v>0</v>
      </c>
      <c r="C15">
        <v>0</v>
      </c>
      <c r="D15">
        <v>0.16666666666666671</v>
      </c>
      <c r="E15">
        <v>0.25</v>
      </c>
      <c r="F15">
        <v>0.16666666666666671</v>
      </c>
      <c r="G15">
        <v>0.25</v>
      </c>
    </row>
    <row r="16" spans="1:7" x14ac:dyDescent="0.15">
      <c r="A16" t="str">
        <f>HYPERLINK("./new_k5/query_cmdrels_weight_analyze/0.1_0.7_0.2/au_122113.xlsx","au_122113")</f>
        <v>au_122113</v>
      </c>
      <c r="B16">
        <v>0.25</v>
      </c>
      <c r="C16">
        <v>0</v>
      </c>
      <c r="D16">
        <v>0.25</v>
      </c>
      <c r="E16">
        <v>0.29166666666666657</v>
      </c>
      <c r="F16">
        <v>0.25</v>
      </c>
      <c r="G16">
        <v>0.29166666666666657</v>
      </c>
    </row>
    <row r="17" spans="1:7" x14ac:dyDescent="0.15">
      <c r="A17" t="str">
        <f>HYPERLINK("./new_k5/query_cmdrels_weight_analyze/0.1_0.7_0.2/au_123798.xlsx","au_123798")</f>
        <v>au_123798</v>
      </c>
      <c r="B17">
        <v>0</v>
      </c>
      <c r="C17">
        <v>0</v>
      </c>
      <c r="D17">
        <v>5.5555555555555552E-2</v>
      </c>
      <c r="E17">
        <v>5.5555555555555552E-2</v>
      </c>
      <c r="F17">
        <v>0.23888888888888879</v>
      </c>
      <c r="G17">
        <v>0.23888888888888879</v>
      </c>
    </row>
    <row r="18" spans="1:7" x14ac:dyDescent="0.15">
      <c r="A18" t="str">
        <f>HYPERLINK("./new_k5/query_cmdrels_weight_analyze/0.1_0.7_0.2/au_125257.xlsx","au_125257")</f>
        <v>au_125257</v>
      </c>
      <c r="B18">
        <v>0.25</v>
      </c>
      <c r="C18">
        <v>0.25</v>
      </c>
      <c r="D18">
        <v>0.41666666666666657</v>
      </c>
      <c r="E18">
        <v>0.25</v>
      </c>
      <c r="F18">
        <v>0.56666666666666665</v>
      </c>
      <c r="G18">
        <v>0.375</v>
      </c>
    </row>
    <row r="19" spans="1:7" x14ac:dyDescent="0.15">
      <c r="A19" t="str">
        <f>HYPERLINK("./new_k5/query_cmdrels_weight_analyze/0.1_0.7_0.2/au_126153.xlsx","au_126153")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0.27777777777777768</v>
      </c>
      <c r="F19">
        <v>0.45833333333333331</v>
      </c>
      <c r="G19">
        <v>0.27777777777777768</v>
      </c>
    </row>
    <row r="20" spans="1:7" x14ac:dyDescent="0.15">
      <c r="A20" t="str">
        <f>HYPERLINK("./new_k5/query_cmdrels_weight_analyze/0.1_0.7_0.2/au_127326.xlsx","au_127326")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HYPERLINK("./new_k5/query_cmdrels_weight_analyze/0.1_0.7_0.2/au_128463.xlsx","au_128463")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HYPERLINK("./new_k5/query_cmdrels_weight_analyze/0.1_0.7_0.2/au_130393.xlsx","au_130393")</f>
        <v>au_130393</v>
      </c>
      <c r="B22">
        <v>0</v>
      </c>
      <c r="C22">
        <v>0.25</v>
      </c>
      <c r="D22">
        <v>0.125</v>
      </c>
      <c r="E22">
        <v>0.25</v>
      </c>
      <c r="F22">
        <v>0.125</v>
      </c>
      <c r="G22">
        <v>0.35</v>
      </c>
    </row>
    <row r="23" spans="1:7" x14ac:dyDescent="0.15">
      <c r="A23" t="str">
        <f>HYPERLINK("./new_k5/query_cmdrels_weight_analyze/0.1_0.7_0.2/au_131570.xlsx","au_131570")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HYPERLINK("./new_k5/query_cmdrels_weight_analyze/0.1_0.7_0.2/au_133318.xlsx","au_133318")</f>
        <v>au_133318</v>
      </c>
      <c r="B24">
        <v>0</v>
      </c>
      <c r="C24">
        <v>0.25</v>
      </c>
      <c r="D24">
        <v>0</v>
      </c>
      <c r="E24">
        <v>0.41666666666666657</v>
      </c>
      <c r="F24">
        <v>0</v>
      </c>
      <c r="G24">
        <v>0.41666666666666657</v>
      </c>
    </row>
    <row r="25" spans="1:7" x14ac:dyDescent="0.15">
      <c r="A25" t="str">
        <f>HYPERLINK("./new_k5/query_cmdrels_weight_analyze/0.1_0.7_0.2/au_133343.xlsx","au_133343")</f>
        <v>au_133343</v>
      </c>
      <c r="B25">
        <v>0</v>
      </c>
      <c r="C25">
        <v>0</v>
      </c>
      <c r="D25">
        <v>0</v>
      </c>
      <c r="E25">
        <v>0</v>
      </c>
      <c r="F25">
        <v>0</v>
      </c>
      <c r="G25">
        <v>8.3333333333333329E-2</v>
      </c>
    </row>
    <row r="26" spans="1:7" x14ac:dyDescent="0.15">
      <c r="A26" t="str">
        <f>HYPERLINK("./new_k5/query_cmdrels_weight_analyze/0.1_0.7_0.2/au_133389.xlsx","au_133389")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HYPERLINK("./new_k5/query_cmdrels_weight_analyze/0.1_0.7_0.2/au_141277.xlsx","au_141277")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HYPERLINK("./new_k5/query_cmdrels_weight_analyze/0.1_0.7_0.2/au_143819.xlsx","au_143819")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0.32380952380952382</v>
      </c>
    </row>
    <row r="29" spans="1:7" x14ac:dyDescent="0.15">
      <c r="A29" t="str">
        <f>HYPERLINK("./new_k5/query_cmdrels_weight_analyze/0.1_0.7_0.2/au_145935.xlsx","au_145935")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HYPERLINK("./new_k5/query_cmdrels_weight_analyze/0.1_0.7_0.2/au_147241.xlsx","au_147241")</f>
        <v>au_147241</v>
      </c>
      <c r="B30">
        <v>0</v>
      </c>
      <c r="C30">
        <v>0</v>
      </c>
      <c r="D30">
        <v>0.29166666666666657</v>
      </c>
      <c r="E30">
        <v>8.3333333333333329E-2</v>
      </c>
      <c r="F30">
        <v>0.29166666666666657</v>
      </c>
      <c r="G30">
        <v>0.18333333333333329</v>
      </c>
    </row>
    <row r="31" spans="1:7" x14ac:dyDescent="0.15">
      <c r="A31" t="str">
        <f>HYPERLINK("./new_k5/query_cmdrels_weight_analyze/0.1_0.7_0.2/au_147800.xlsx","au_147800")</f>
        <v>au_147800</v>
      </c>
      <c r="B31">
        <v>0</v>
      </c>
      <c r="C31">
        <v>0</v>
      </c>
      <c r="D31">
        <v>0.1111111111111111</v>
      </c>
      <c r="E31">
        <v>0.1111111111111111</v>
      </c>
      <c r="F31">
        <v>0.1111111111111111</v>
      </c>
      <c r="G31">
        <v>0.1111111111111111</v>
      </c>
    </row>
    <row r="32" spans="1:7" x14ac:dyDescent="0.15">
      <c r="A32" t="str">
        <f>HYPERLINK("./new_k5/query_cmdrels_weight_analyze/0.1_0.7_0.2/au_148321.xlsx","au_148321")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0.33333333333333331</v>
      </c>
      <c r="F32">
        <v>0.16666666666666671</v>
      </c>
      <c r="G32">
        <v>0.33333333333333331</v>
      </c>
    </row>
    <row r="33" spans="1:7" x14ac:dyDescent="0.15">
      <c r="A33" t="str">
        <f>HYPERLINK("./new_k5/query_cmdrels_weight_analyze/0.1_0.7_0.2/au_148638.xlsx","au_148638")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HYPERLINK("./new_k5/query_cmdrels_weight_analyze/0.1_0.7_0.2/au_151049.xlsx","au_151049")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HYPERLINK("./new_k5/query_cmdrels_weight_analyze/0.1_0.7_0.2/au_151941.xlsx","au_151941")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HYPERLINK("./new_k5/query_cmdrels_weight_analyze/0.1_0.7_0.2/au_152297.xlsx","au_152297")</f>
        <v>au_152297</v>
      </c>
      <c r="B36">
        <v>0</v>
      </c>
      <c r="C36">
        <v>0</v>
      </c>
      <c r="D36">
        <v>7.1428571428571425E-2</v>
      </c>
      <c r="E36">
        <v>0.16666666666666671</v>
      </c>
      <c r="F36">
        <v>7.1428571428571425E-2</v>
      </c>
      <c r="G36">
        <v>0.16666666666666671</v>
      </c>
    </row>
    <row r="37" spans="1:7" x14ac:dyDescent="0.15">
      <c r="A37" t="str">
        <f>HYPERLINK("./new_k5/query_cmdrels_weight_analyze/0.1_0.7_0.2/au_153976.xlsx","au_153976")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0.27777777777777768</v>
      </c>
      <c r="F37">
        <v>0.33333333333333331</v>
      </c>
      <c r="G37">
        <v>0.37777777777777782</v>
      </c>
    </row>
    <row r="38" spans="1:7" x14ac:dyDescent="0.15">
      <c r="A38" t="str">
        <f>HYPERLINK("./new_k5/query_cmdrels_weight_analyze/0.1_0.7_0.2/au_154431.xlsx","au_154431")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HYPERLINK("./new_k5/query_cmdrels_weight_analyze/0.1_0.7_0.2/au_159708.xlsx","au_159708")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0.55555555555555547</v>
      </c>
      <c r="F39">
        <v>0.33333333333333331</v>
      </c>
      <c r="G39">
        <v>0.55555555555555547</v>
      </c>
    </row>
    <row r="40" spans="1:7" x14ac:dyDescent="0.15">
      <c r="A40" t="str">
        <f>HYPERLINK("./new_k5/query_cmdrels_weight_analyze/0.1_0.7_0.2/au_160869.xlsx","au_160869")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HYPERLINK("./new_k5/query_cmdrels_weight_analyze/0.1_0.7_0.2/au_161313.xlsx","au_161313")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0.125</v>
      </c>
    </row>
    <row r="42" spans="1:7" x14ac:dyDescent="0.15">
      <c r="A42" t="str">
        <f>HYPERLINK("./new_k5/query_cmdrels_weight_analyze/0.1_0.7_0.2/au_162075.xlsx","au_162075")</f>
        <v>au_162075</v>
      </c>
      <c r="B42">
        <v>0.25</v>
      </c>
      <c r="C42">
        <v>0</v>
      </c>
      <c r="D42">
        <v>0.5</v>
      </c>
      <c r="E42">
        <v>8.3333333333333329E-2</v>
      </c>
      <c r="F42">
        <v>0.5</v>
      </c>
      <c r="G42">
        <v>0.20833333333333329</v>
      </c>
    </row>
    <row r="43" spans="1:7" x14ac:dyDescent="0.15">
      <c r="A43" t="str">
        <f>HYPERLINK("./new_k5/query_cmdrels_weight_analyze/0.1_0.7_0.2/au_16277.xlsx","au_16277")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0.83333333333333337</v>
      </c>
    </row>
    <row r="44" spans="1:7" x14ac:dyDescent="0.15">
      <c r="A44" t="str">
        <f>HYPERLINK("./new_k5/query_cmdrels_weight_analyze/0.1_0.7_0.2/au_163155.xlsx","au_163155")</f>
        <v>au_163155</v>
      </c>
      <c r="B44">
        <v>0.125</v>
      </c>
      <c r="C44">
        <v>0.125</v>
      </c>
      <c r="D44">
        <v>0.375</v>
      </c>
      <c r="E44">
        <v>0.20833333333333329</v>
      </c>
      <c r="F44">
        <v>0.5</v>
      </c>
      <c r="G44">
        <v>0.30208333333333331</v>
      </c>
    </row>
    <row r="45" spans="1:7" x14ac:dyDescent="0.15">
      <c r="A45" t="str">
        <f>HYPERLINK("./new_k5/query_cmdrels_weight_analyze/0.1_0.7_0.2/au_164473.xlsx","au_164473")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HYPERLINK("./new_k5/query_cmdrels_weight_analyze/0.1_0.7_0.2/au_16584.xlsx","au_16584")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0.15151515151515149</v>
      </c>
      <c r="F46">
        <v>0.13636363636363641</v>
      </c>
      <c r="G46">
        <v>0.20606060606060611</v>
      </c>
    </row>
    <row r="47" spans="1:7" x14ac:dyDescent="0.15">
      <c r="A47" t="str">
        <f>HYPERLINK("./new_k5/query_cmdrels_weight_analyze/0.1_0.7_0.2/au_166420.xlsx","au_166420")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HYPERLINK("./new_k5/query_cmdrels_weight_analyze/0.1_0.7_0.2/au_169473.xlsx","au_169473")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0.33333333333333331</v>
      </c>
      <c r="F48">
        <v>0.43333333333333329</v>
      </c>
      <c r="G48">
        <v>0.33333333333333331</v>
      </c>
    </row>
    <row r="49" spans="1:7" x14ac:dyDescent="0.15">
      <c r="A49" t="str">
        <f>HYPERLINK("./new_k5/query_cmdrels_weight_analyze/0.1_0.7_0.2/au_169516.xlsx","au_169516")</f>
        <v>au_169516</v>
      </c>
      <c r="B49">
        <v>0.25</v>
      </c>
      <c r="C49">
        <v>0.25</v>
      </c>
      <c r="D49">
        <v>0.25</v>
      </c>
      <c r="E49">
        <v>0.5</v>
      </c>
      <c r="F49">
        <v>0.25</v>
      </c>
      <c r="G49">
        <v>0.5</v>
      </c>
    </row>
    <row r="50" spans="1:7" x14ac:dyDescent="0.15">
      <c r="A50" t="str">
        <f>HYPERLINK("./new_k5/query_cmdrels_weight_analyze/0.1_0.7_0.2/au_174292.xlsx","au_174292")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HYPERLINK("./new_k5/query_cmdrels_weight_analyze/0.1_0.7_0.2/au_178481.xlsx","au_178481")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HYPERLINK("./new_k5/query_cmdrels_weight_analyze/0.1_0.7_0.2/au_180925.xlsx","au_180925")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HYPERLINK("./new_k5/query_cmdrels_weight_analyze/0.1_0.7_0.2/au_187888.xlsx","au_187888")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HYPERLINK("./new_k5/query_cmdrels_weight_analyze/0.1_0.7_0.2/au_191390.xlsx","au_191390")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HYPERLINK("./new_k5/query_cmdrels_weight_analyze/0.1_0.7_0.2/au_192798.xlsx","au_192798")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HYPERLINK("./new_k5/query_cmdrels_weight_analyze/0.1_0.7_0.2/au_201775.xlsx","au_201775")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0.33333333333333331</v>
      </c>
      <c r="F56">
        <v>0.66666666666666663</v>
      </c>
      <c r="G56">
        <v>0.70000000000000007</v>
      </c>
    </row>
    <row r="57" spans="1:7" x14ac:dyDescent="0.15">
      <c r="A57" t="str">
        <f>HYPERLINK("./new_k5/query_cmdrels_weight_analyze/0.1_0.7_0.2/au_204166.xlsx","au_204166")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HYPERLINK("./new_k5/query_cmdrels_weight_analyze/0.1_0.7_0.2/au_207447.xlsx","au_207447")</f>
        <v>au_207447</v>
      </c>
      <c r="B58">
        <v>0.33333333333333331</v>
      </c>
      <c r="C58">
        <v>0</v>
      </c>
      <c r="D58">
        <v>0.33333333333333331</v>
      </c>
      <c r="E58">
        <v>0.16666666666666671</v>
      </c>
      <c r="F58">
        <v>0.33333333333333331</v>
      </c>
      <c r="G58">
        <v>0.16666666666666671</v>
      </c>
    </row>
    <row r="59" spans="1:7" x14ac:dyDescent="0.15">
      <c r="A59" t="str">
        <f>HYPERLINK("./new_k5/query_cmdrels_weight_analyze/0.1_0.7_0.2/au_210680.xlsx","au_210680")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HYPERLINK("./new_k5/query_cmdrels_weight_analyze/0.1_0.7_0.2/au_214246.xlsx","au_214246")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0.4</v>
      </c>
    </row>
    <row r="61" spans="1:7" x14ac:dyDescent="0.15">
      <c r="A61" t="str">
        <f>HYPERLINK("./new_k5/query_cmdrels_weight_analyze/0.1_0.7_0.2/au_214643.xlsx","au_214643")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HYPERLINK("./new_k5/query_cmdrels_weight_analyze/0.1_0.7_0.2/au_2194.xlsx","au_2194")</f>
        <v>au_2194</v>
      </c>
      <c r="B62">
        <v>0</v>
      </c>
      <c r="C62">
        <v>0.14285714285714279</v>
      </c>
      <c r="D62">
        <v>4.7619047619047623E-2</v>
      </c>
      <c r="E62">
        <v>0.14285714285714279</v>
      </c>
      <c r="F62">
        <v>0.119047619047619</v>
      </c>
      <c r="G62">
        <v>0.3</v>
      </c>
    </row>
    <row r="63" spans="1:7" x14ac:dyDescent="0.15">
      <c r="A63" t="str">
        <f>HYPERLINK("./new_k5/query_cmdrels_weight_analyze/0.1_0.7_0.2/au_221962.xlsx","au_221962")</f>
        <v>au_221962</v>
      </c>
      <c r="B63">
        <v>0</v>
      </c>
      <c r="C63">
        <v>0.16666666666666671</v>
      </c>
      <c r="D63">
        <v>5.5555555555555552E-2</v>
      </c>
      <c r="E63">
        <v>0.16666666666666671</v>
      </c>
      <c r="F63">
        <v>0.1388888888888889</v>
      </c>
      <c r="G63">
        <v>0.35</v>
      </c>
    </row>
    <row r="64" spans="1:7" x14ac:dyDescent="0.15">
      <c r="A64" t="str">
        <f>HYPERLINK("./new_k5/query_cmdrels_weight_analyze/0.1_0.7_0.2/au_22608.xlsx","au_22608")</f>
        <v>au_22608</v>
      </c>
      <c r="B64">
        <v>0.33333333333333331</v>
      </c>
      <c r="C64">
        <v>0</v>
      </c>
      <c r="D64">
        <v>0.33333333333333331</v>
      </c>
      <c r="E64">
        <v>0.16666666666666671</v>
      </c>
      <c r="F64">
        <v>0.33333333333333331</v>
      </c>
      <c r="G64">
        <v>0.33333333333333331</v>
      </c>
    </row>
    <row r="65" spans="1:7" x14ac:dyDescent="0.15">
      <c r="A65" t="str">
        <f>HYPERLINK("./new_k5/query_cmdrels_weight_analyze/0.1_0.7_0.2/au_230698.xlsx","au_230698")</f>
        <v>au_230698</v>
      </c>
      <c r="B65">
        <v>0.125</v>
      </c>
      <c r="C65">
        <v>0.125</v>
      </c>
      <c r="D65">
        <v>0.25</v>
      </c>
      <c r="E65">
        <v>0.20833333333333329</v>
      </c>
      <c r="F65">
        <v>0.32500000000000001</v>
      </c>
      <c r="G65">
        <v>0.30208333333333331</v>
      </c>
    </row>
    <row r="66" spans="1:7" x14ac:dyDescent="0.15">
      <c r="A66" t="str">
        <f>HYPERLINK("./new_k5/query_cmdrels_weight_analyze/0.1_0.7_0.2/au_232442.xlsx","au_232442")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HYPERLINK("./new_k5/query_cmdrels_weight_analyze/0.1_0.7_0.2/au_233378.xlsx","au_233378")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HYPERLINK("./new_k5/query_cmdrels_weight_analyze/0.1_0.7_0.2/au_24027.xlsx","au_24027")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HYPERLINK("./new_k5/query_cmdrels_weight_analyze/0.1_0.7_0.2/au_246647.xlsx","au_246647")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HYPERLINK("./new_k5/query_cmdrels_weight_analyze/0.1_0.7_0.2/au_254424.xlsx","au_254424")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0.05</v>
      </c>
    </row>
    <row r="71" spans="1:7" x14ac:dyDescent="0.15">
      <c r="A71" t="str">
        <f>HYPERLINK("./new_k5/query_cmdrels_weight_analyze/0.1_0.7_0.2/au_255890.xlsx","au_255890")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HYPERLINK("./new_k5/query_cmdrels_weight_analyze/0.1_0.7_0.2/au_257248.xlsx","au_257248")</f>
        <v>au_257248</v>
      </c>
      <c r="B72">
        <v>0</v>
      </c>
      <c r="C72">
        <v>0</v>
      </c>
      <c r="D72">
        <v>0.16666666666666671</v>
      </c>
      <c r="E72">
        <v>4.7619047619047623E-2</v>
      </c>
      <c r="F72">
        <v>0.25238095238095237</v>
      </c>
      <c r="G72">
        <v>0.10476190476190481</v>
      </c>
    </row>
    <row r="73" spans="1:7" x14ac:dyDescent="0.15">
      <c r="A73" t="str">
        <f>HYPERLINK("./new_k5/query_cmdrels_weight_analyze/0.1_0.7_0.2/au_259354.xlsx","au_259354")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0.42857142857142849</v>
      </c>
    </row>
    <row r="74" spans="1:7" x14ac:dyDescent="0.15">
      <c r="A74" t="str">
        <f>HYPERLINK("./new_k5/query_cmdrels_weight_analyze/0.1_0.7_0.2/au_263378.xlsx","au_263378")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0.47499999999999998</v>
      </c>
    </row>
    <row r="75" spans="1:7" x14ac:dyDescent="0.15">
      <c r="A75" t="str">
        <f>HYPERLINK("./new_k5/query_cmdrels_weight_analyze/0.1_0.7_0.2/au_264215.xlsx","au_264215")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HYPERLINK("./new_k5/query_cmdrels_weight_analyze/0.1_0.7_0.2/au_265176.xlsx","au_265176")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HYPERLINK("./new_k5/query_cmdrels_weight_analyze/0.1_0.7_0.2/au_275704.xlsx","au_275704")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HYPERLINK("./new_k5/query_cmdrels_weight_analyze/0.1_0.7_0.2/au_276669.xlsx","au_276669")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HYPERLINK("./new_k5/query_cmdrels_weight_analyze/0.1_0.7_0.2/au_277565.xlsx","au_277565")</f>
        <v>au_277565</v>
      </c>
      <c r="B79">
        <v>0.5</v>
      </c>
      <c r="C79">
        <v>0.5</v>
      </c>
      <c r="D79">
        <v>0.5</v>
      </c>
      <c r="E79">
        <v>1</v>
      </c>
      <c r="F79">
        <v>0.5</v>
      </c>
      <c r="G79">
        <v>1</v>
      </c>
    </row>
    <row r="80" spans="1:7" x14ac:dyDescent="0.15">
      <c r="A80" t="str">
        <f>HYPERLINK("./new_k5/query_cmdrels_weight_analyze/0.1_0.7_0.2/au_278403.xlsx","au_278403")</f>
        <v>au_278403</v>
      </c>
      <c r="B80">
        <v>0</v>
      </c>
      <c r="C80">
        <v>0</v>
      </c>
      <c r="D80">
        <v>8.3333333333333329E-2</v>
      </c>
      <c r="E80">
        <v>8.3333333333333329E-2</v>
      </c>
      <c r="F80">
        <v>0.20833333333333329</v>
      </c>
      <c r="G80">
        <v>8.3333333333333329E-2</v>
      </c>
    </row>
    <row r="81" spans="1:7" x14ac:dyDescent="0.15">
      <c r="A81" t="str">
        <f>HYPERLINK("./new_k5/query_cmdrels_weight_analyze/0.1_0.7_0.2/au_28039.xlsx","au_28039")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15">
      <c r="A82" t="str">
        <f>HYPERLINK("./new_k5/query_cmdrels_weight_analyze/0.1_0.7_0.2/au_281509.xlsx","au_281509")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0.33333333333333331</v>
      </c>
      <c r="F82">
        <v>0.55555555555555547</v>
      </c>
      <c r="G82">
        <v>0.5</v>
      </c>
    </row>
    <row r="83" spans="1:7" x14ac:dyDescent="0.15">
      <c r="A83" t="str">
        <f>HYPERLINK("./new_k5/query_cmdrels_weight_analyze/0.1_0.7_0.2/au_282806.xlsx","au_282806")</f>
        <v>au_282806</v>
      </c>
      <c r="B83">
        <v>0</v>
      </c>
      <c r="C83">
        <v>0.33333333333333331</v>
      </c>
      <c r="D83">
        <v>0.38888888888888878</v>
      </c>
      <c r="E83">
        <v>0.55555555555555547</v>
      </c>
      <c r="F83">
        <v>0.38888888888888878</v>
      </c>
      <c r="G83">
        <v>0.80555555555555547</v>
      </c>
    </row>
    <row r="84" spans="1:7" x14ac:dyDescent="0.15">
      <c r="A84" t="str">
        <f>HYPERLINK("./new_k5/query_cmdrels_weight_analyze/0.1_0.7_0.2/au_283559.xlsx","au_283559")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HYPERLINK("./new_k5/query_cmdrels_weight_analyze/0.1_0.7_0.2/au_285539.xlsx","au_285539")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HYPERLINK("./new_k5/query_cmdrels_weight_analyze/0.1_0.7_0.2/au_287532.xlsx","au_287532")</f>
        <v>au_287532</v>
      </c>
      <c r="B86">
        <v>0</v>
      </c>
      <c r="C86">
        <v>0.25</v>
      </c>
      <c r="D86">
        <v>0</v>
      </c>
      <c r="E86">
        <v>0.25</v>
      </c>
      <c r="F86">
        <v>0</v>
      </c>
      <c r="G86">
        <v>0.25</v>
      </c>
    </row>
    <row r="87" spans="1:7" x14ac:dyDescent="0.15">
      <c r="A87" t="str">
        <f>HYPERLINK("./new_k5/query_cmdrels_weight_analyze/0.1_0.7_0.2/au_294257.xlsx","au_294257")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0.42857142857142849</v>
      </c>
      <c r="F87">
        <v>0.7142857142857143</v>
      </c>
      <c r="G87">
        <v>0.5714285714285714</v>
      </c>
    </row>
    <row r="88" spans="1:7" x14ac:dyDescent="0.15">
      <c r="A88" t="str">
        <f>HYPERLINK("./new_k5/query_cmdrels_weight_analyze/0.1_0.7_0.2/au_296155.xlsx","au_296155")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HYPERLINK("./new_k5/query_cmdrels_weight_analyze/0.1_0.7_0.2/au_299975.xlsx","au_299975")</f>
        <v>au_299975</v>
      </c>
      <c r="B89">
        <v>0.25</v>
      </c>
      <c r="C89">
        <v>0</v>
      </c>
      <c r="D89">
        <v>0.5</v>
      </c>
      <c r="E89">
        <v>0</v>
      </c>
      <c r="F89">
        <v>0.6875</v>
      </c>
      <c r="G89">
        <v>0</v>
      </c>
    </row>
    <row r="90" spans="1:7" x14ac:dyDescent="0.15">
      <c r="A90" t="str">
        <f>HYPERLINK("./new_k5/query_cmdrels_weight_analyze/0.1_0.7_0.2/au_301096.xlsx","au_301096")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HYPERLINK("./new_k5/query_cmdrels_weight_analyze/0.1_0.7_0.2/au_303593.xlsx","au_303593")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HYPERLINK("./new_k5/query_cmdrels_weight_analyze/0.1_0.7_0.2/au_303849.xlsx","au_303849")</f>
        <v>au_303849</v>
      </c>
      <c r="B92">
        <v>0.1111111111111111</v>
      </c>
      <c r="C92">
        <v>0</v>
      </c>
      <c r="D92">
        <v>0.1111111111111111</v>
      </c>
      <c r="E92">
        <v>0</v>
      </c>
      <c r="F92">
        <v>0.1111111111111111</v>
      </c>
      <c r="G92">
        <v>2.777777777777778E-2</v>
      </c>
    </row>
    <row r="93" spans="1:7" x14ac:dyDescent="0.15">
      <c r="A93" t="str">
        <f>HYPERLINK("./new_k5/query_cmdrels_weight_analyze/0.1_0.7_0.2/au_307541.xlsx","au_307541")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HYPERLINK("./new_k5/query_cmdrels_weight_analyze/0.1_0.7_0.2/au_307688.xlsx","au_307688")</f>
        <v>au_307688</v>
      </c>
      <c r="B94">
        <v>0.2</v>
      </c>
      <c r="C94">
        <v>0.2</v>
      </c>
      <c r="D94">
        <v>0.33333333333333331</v>
      </c>
      <c r="E94">
        <v>0.4</v>
      </c>
      <c r="F94">
        <v>0.33333333333333331</v>
      </c>
      <c r="G94">
        <v>0.4</v>
      </c>
    </row>
    <row r="95" spans="1:7" x14ac:dyDescent="0.15">
      <c r="A95" t="str">
        <f>HYPERLINK("./new_k5/query_cmdrels_weight_analyze/0.1_0.7_0.2/au_309047.xlsx","au_309047")</f>
        <v>au_309047</v>
      </c>
      <c r="B95">
        <v>0.25</v>
      </c>
      <c r="C95">
        <v>0.25</v>
      </c>
      <c r="D95">
        <v>0.25</v>
      </c>
      <c r="E95">
        <v>0.41666666666666657</v>
      </c>
      <c r="F95">
        <v>0.25</v>
      </c>
      <c r="G95">
        <v>0.41666666666666657</v>
      </c>
    </row>
    <row r="96" spans="1:7" x14ac:dyDescent="0.15">
      <c r="A96" t="str">
        <f>HYPERLINK("./new_k5/query_cmdrels_weight_analyze/0.1_0.7_0.2/au_311558.xlsx","au_311558")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0.41666666666666657</v>
      </c>
    </row>
    <row r="97" spans="1:7" x14ac:dyDescent="0.15">
      <c r="A97" t="str">
        <f>HYPERLINK("./new_k5/query_cmdrels_weight_analyze/0.1_0.7_0.2/au_318973.xlsx","au_318973")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HYPERLINK("./new_k5/query_cmdrels_weight_analyze/0.1_0.7_0.2/au_3205.xlsx","au_3205")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HYPERLINK("./new_k5/query_cmdrels_weight_analyze/0.1_0.7_0.2/au_323131.xlsx","au_323131")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HYPERLINK("./new_k5/query_cmdrels_weight_analyze/0.1_0.7_0.2/au_323392.xlsx","au_323392")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0.5</v>
      </c>
    </row>
    <row r="101" spans="1:7" x14ac:dyDescent="0.15">
      <c r="A101" t="str">
        <f>HYPERLINK("./new_k5/query_cmdrels_weight_analyze/0.1_0.7_0.2/au_325368.xlsx","au_325368")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HYPERLINK("./new_k5/query_cmdrels_weight_analyze/0.1_0.7_0.2/au_328162.xlsx","au_328162")</f>
        <v>au_328162</v>
      </c>
      <c r="B102">
        <v>0.33333333333333331</v>
      </c>
      <c r="C102">
        <v>0.33333333333333331</v>
      </c>
      <c r="D102">
        <v>1</v>
      </c>
      <c r="E102">
        <v>0.55555555555555547</v>
      </c>
      <c r="F102">
        <v>1</v>
      </c>
      <c r="G102">
        <v>0.55555555555555547</v>
      </c>
    </row>
    <row r="103" spans="1:7" x14ac:dyDescent="0.15">
      <c r="A103" t="str">
        <f>HYPERLINK("./new_k5/query_cmdrels_weight_analyze/0.1_0.7_0.2/au_330148.xlsx","au_330148")</f>
        <v>au_330148</v>
      </c>
      <c r="B103">
        <v>0</v>
      </c>
      <c r="C103">
        <v>0.2</v>
      </c>
      <c r="D103">
        <v>0.23333333333333331</v>
      </c>
      <c r="E103">
        <v>0.33333333333333331</v>
      </c>
      <c r="F103">
        <v>0.54333333333333333</v>
      </c>
      <c r="G103">
        <v>0.33333333333333331</v>
      </c>
    </row>
    <row r="104" spans="1:7" x14ac:dyDescent="0.15">
      <c r="A104" t="str">
        <f>HYPERLINK("./new_k5/query_cmdrels_weight_analyze/0.1_0.7_0.2/au_332315.xlsx","au_332315")</f>
        <v>au_332315</v>
      </c>
      <c r="B104">
        <v>0.33333333333333331</v>
      </c>
      <c r="C104">
        <v>0.33333333333333331</v>
      </c>
      <c r="D104">
        <v>0.55555555555555547</v>
      </c>
      <c r="E104">
        <v>0.33333333333333331</v>
      </c>
      <c r="F104">
        <v>0.75555555555555554</v>
      </c>
      <c r="G104">
        <v>0.33333333333333331</v>
      </c>
    </row>
    <row r="105" spans="1:7" x14ac:dyDescent="0.15">
      <c r="A105" t="str">
        <f>HYPERLINK("./new_k5/query_cmdrels_weight_analyze/0.1_0.7_0.2/au_334081.xlsx","au_334081")</f>
        <v>au_334081</v>
      </c>
      <c r="B105">
        <v>0.25</v>
      </c>
      <c r="C105">
        <v>0.25</v>
      </c>
      <c r="D105">
        <v>0.41666666666666657</v>
      </c>
      <c r="E105">
        <v>0.75</v>
      </c>
      <c r="F105">
        <v>0.41666666666666657</v>
      </c>
      <c r="G105">
        <v>0.75</v>
      </c>
    </row>
    <row r="106" spans="1:7" x14ac:dyDescent="0.15">
      <c r="A106" t="str">
        <f>HYPERLINK("./new_k5/query_cmdrels_weight_analyze/0.1_0.7_0.2/au_34077.xlsx","au_34077")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0.5</v>
      </c>
      <c r="F106">
        <v>0.33333333333333331</v>
      </c>
      <c r="G106">
        <v>0.6333333333333333</v>
      </c>
    </row>
    <row r="107" spans="1:7" x14ac:dyDescent="0.15">
      <c r="A107" t="str">
        <f>HYPERLINK("./new_k5/query_cmdrels_weight_analyze/0.1_0.7_0.2/au_341428.xlsx","au_341428")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HYPERLINK("./new_k5/query_cmdrels_weight_analyze/0.1_0.7_0.2/au_341584.xlsx","au_341584")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HYPERLINK("./new_k5/query_cmdrels_weight_analyze/0.1_0.7_0.2/au_346864.xlsx","au_346864")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0.14285714285714279</v>
      </c>
      <c r="F109">
        <v>0.23809523809523811</v>
      </c>
      <c r="G109">
        <v>0.2142857142857143</v>
      </c>
    </row>
    <row r="110" spans="1:7" x14ac:dyDescent="0.15">
      <c r="A110" t="str">
        <f>HYPERLINK("./new_k5/query_cmdrels_weight_analyze/0.1_0.7_0.2/au_351765.xlsx","au_351765")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0.5</v>
      </c>
    </row>
    <row r="111" spans="1:7" x14ac:dyDescent="0.15">
      <c r="A111" t="str">
        <f>HYPERLINK("./new_k5/query_cmdrels_weight_analyze/0.1_0.7_0.2/au_35922.xlsx","au_35922")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HYPERLINK("./new_k5/query_cmdrels_weight_analyze/0.1_0.7_0.2/au_359856.xlsx","au_359856")</f>
        <v>au_359856</v>
      </c>
      <c r="B112">
        <v>0.25</v>
      </c>
      <c r="C112">
        <v>0.25</v>
      </c>
      <c r="D112">
        <v>0.75</v>
      </c>
      <c r="E112">
        <v>0.5</v>
      </c>
      <c r="F112">
        <v>0.95</v>
      </c>
      <c r="G112">
        <v>0.5</v>
      </c>
    </row>
    <row r="113" spans="1:7" x14ac:dyDescent="0.15">
      <c r="A113" t="str">
        <f>HYPERLINK("./new_k5/query_cmdrels_weight_analyze/0.1_0.7_0.2/au_360423.xlsx","au_360423")</f>
        <v>au_360423</v>
      </c>
      <c r="B113">
        <v>0</v>
      </c>
      <c r="C113">
        <v>0</v>
      </c>
      <c r="D113">
        <v>0</v>
      </c>
      <c r="E113">
        <v>0.25</v>
      </c>
      <c r="F113">
        <v>0</v>
      </c>
      <c r="G113">
        <v>0.25</v>
      </c>
    </row>
    <row r="114" spans="1:7" x14ac:dyDescent="0.15">
      <c r="A114" t="str">
        <f>HYPERLINK("./new_k5/query_cmdrels_weight_analyze/0.1_0.7_0.2/au_36287.xlsx","au_36287")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HYPERLINK("./new_k5/query_cmdrels_weight_analyze/0.1_0.7_0.2/au_366742.xlsx","au_366742")</f>
        <v>au_366742</v>
      </c>
      <c r="B115">
        <v>0</v>
      </c>
      <c r="C115">
        <v>0</v>
      </c>
      <c r="D115">
        <v>0</v>
      </c>
      <c r="E115">
        <v>0.125</v>
      </c>
      <c r="F115">
        <v>0</v>
      </c>
      <c r="G115">
        <v>0.125</v>
      </c>
    </row>
    <row r="116" spans="1:7" x14ac:dyDescent="0.15">
      <c r="A116" t="str">
        <f>HYPERLINK("./new_k5/query_cmdrels_weight_analyze/0.1_0.7_0.2/au_377937.xlsx","au_377937")</f>
        <v>au_377937</v>
      </c>
      <c r="B116">
        <v>0.25</v>
      </c>
      <c r="C116">
        <v>0.25</v>
      </c>
      <c r="D116">
        <v>0.5</v>
      </c>
      <c r="E116">
        <v>0.5</v>
      </c>
      <c r="F116">
        <v>0.5</v>
      </c>
      <c r="G116">
        <v>0.5</v>
      </c>
    </row>
    <row r="117" spans="1:7" x14ac:dyDescent="0.15">
      <c r="A117" t="str">
        <f>HYPERLINK("./new_k5/query_cmdrels_weight_analyze/0.1_0.7_0.2/au_383997.xlsx","au_383997")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0.2857142857142857</v>
      </c>
    </row>
    <row r="118" spans="1:7" x14ac:dyDescent="0.15">
      <c r="A118" t="str">
        <f>HYPERLINK("./new_k5/query_cmdrels_weight_analyze/0.1_0.7_0.2/au_3883.xlsx","au_3883")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0.35</v>
      </c>
    </row>
    <row r="119" spans="1:7" x14ac:dyDescent="0.15">
      <c r="A119" t="str">
        <f>HYPERLINK("./new_k5/query_cmdrels_weight_analyze/0.1_0.7_0.2/au_396883.xlsx","au_396883")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HYPERLINK("./new_k5/query_cmdrels_weight_analyze/0.1_0.7_0.2/au_39760.xlsx","au_39760")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HYPERLINK("./new_k5/query_cmdrels_weight_analyze/0.1_0.7_0.2/au_398818.xlsx","au_398818")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HYPERLINK("./new_k5/query_cmdrels_weight_analyze/0.1_0.7_0.2/au_400807.xlsx","au_400807")</f>
        <v>au_400807</v>
      </c>
      <c r="B122">
        <v>0</v>
      </c>
      <c r="C122">
        <v>0.33333333333333331</v>
      </c>
      <c r="D122">
        <v>0.16666666666666671</v>
      </c>
      <c r="E122">
        <v>0.55555555555555547</v>
      </c>
      <c r="F122">
        <v>0.16666666666666671</v>
      </c>
      <c r="G122">
        <v>0.55555555555555547</v>
      </c>
    </row>
    <row r="123" spans="1:7" x14ac:dyDescent="0.15">
      <c r="A123" t="str">
        <f>HYPERLINK("./new_k5/query_cmdrels_weight_analyze/0.1_0.7_0.2/au_408611.xlsx","au_408611")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HYPERLINK("./new_k5/query_cmdrels_weight_analyze/0.1_0.7_0.2/au_414737.xlsx","au_414737")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HYPERLINK("./new_k5/query_cmdrels_weight_analyze/0.1_0.7_0.2/au_420722.xlsx","au_420722")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HYPERLINK("./new_k5/query_cmdrels_weight_analyze/0.1_0.7_0.2/au_423942.xlsx","au_423942")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HYPERLINK("./new_k5/query_cmdrels_weight_analyze/0.1_0.7_0.2/au_430382.xlsx","au_430382")</f>
        <v>au_430382</v>
      </c>
      <c r="B127">
        <v>0</v>
      </c>
      <c r="C127">
        <v>0</v>
      </c>
      <c r="D127">
        <v>0.29166666666666657</v>
      </c>
      <c r="E127">
        <v>0</v>
      </c>
      <c r="F127">
        <v>0.29166666666666657</v>
      </c>
      <c r="G127">
        <v>0.16250000000000001</v>
      </c>
    </row>
    <row r="128" spans="1:7" x14ac:dyDescent="0.15">
      <c r="A128" t="str">
        <f>HYPERLINK("./new_k5/query_cmdrels_weight_analyze/0.1_0.7_0.2/au_432836.xlsx","au_432836")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0.14285714285714279</v>
      </c>
      <c r="F128">
        <v>0.2142857142857143</v>
      </c>
      <c r="G128">
        <v>0.14285714285714279</v>
      </c>
    </row>
    <row r="129" spans="1:7" x14ac:dyDescent="0.15">
      <c r="A129" t="str">
        <f>HYPERLINK("./new_k5/query_cmdrels_weight_analyze/0.1_0.7_0.2/au_440326.xlsx","au_440326")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HYPERLINK("./new_k5/query_cmdrels_weight_analyze/0.1_0.7_0.2/au_442914.xlsx","au_442914")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HYPERLINK("./new_k5/query_cmdrels_weight_analyze/0.1_0.7_0.2/au_443227.xlsx","au_443227")</f>
        <v>au_443227</v>
      </c>
      <c r="B131">
        <v>0.5</v>
      </c>
      <c r="C131">
        <v>0</v>
      </c>
      <c r="D131">
        <v>0.5</v>
      </c>
      <c r="E131">
        <v>0</v>
      </c>
      <c r="F131">
        <v>0.5</v>
      </c>
      <c r="G131">
        <v>0.125</v>
      </c>
    </row>
    <row r="132" spans="1:7" x14ac:dyDescent="0.15">
      <c r="A132" t="str">
        <f>HYPERLINK("./new_k5/query_cmdrels_weight_analyze/0.1_0.7_0.2/au_44534.xlsx","au_44534")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HYPERLINK("./new_k5/query_cmdrels_weight_analyze/0.1_0.7_0.2/au_451805.xlsx","au_451805")</f>
        <v>au_451805</v>
      </c>
      <c r="B133">
        <v>0.33333333333333331</v>
      </c>
      <c r="C133">
        <v>0.33333333333333331</v>
      </c>
      <c r="D133">
        <v>0.33333333333333331</v>
      </c>
      <c r="E133">
        <v>0.33333333333333331</v>
      </c>
      <c r="F133">
        <v>0.33333333333333331</v>
      </c>
      <c r="G133">
        <v>0.33333333333333331</v>
      </c>
    </row>
    <row r="134" spans="1:7" x14ac:dyDescent="0.15">
      <c r="A134" t="str">
        <f>HYPERLINK("./new_k5/query_cmdrels_weight_analyze/0.1_0.7_0.2/au_464264.xlsx","au_464264")</f>
        <v>au_464264</v>
      </c>
      <c r="B134">
        <v>0.2</v>
      </c>
      <c r="C134">
        <v>0</v>
      </c>
      <c r="D134">
        <v>0.33333333333333331</v>
      </c>
      <c r="E134">
        <v>0</v>
      </c>
      <c r="F134">
        <v>0.48333333333333328</v>
      </c>
      <c r="G134">
        <v>0.13</v>
      </c>
    </row>
    <row r="135" spans="1:7" x14ac:dyDescent="0.15">
      <c r="A135" t="str">
        <f>HYPERLINK("./new_k5/query_cmdrels_weight_analyze/0.1_0.7_0.2/au_468808.xlsx","au_468808")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</v>
      </c>
    </row>
    <row r="136" spans="1:7" x14ac:dyDescent="0.15">
      <c r="A136" t="str">
        <f>HYPERLINK("./new_k5/query_cmdrels_weight_analyze/0.1_0.7_0.2/au_469143.xlsx","au_469143")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0.33333333333333331</v>
      </c>
    </row>
    <row r="137" spans="1:7" x14ac:dyDescent="0.15">
      <c r="A137" t="str">
        <f>HYPERLINK("./new_k5/query_cmdrels_weight_analyze/0.1_0.7_0.2/au_470237.xlsx","au_470237")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HYPERLINK("./new_k5/query_cmdrels_weight_analyze/0.1_0.7_0.2/au_473037.xlsx","au_473037")</f>
        <v>au_473037</v>
      </c>
      <c r="B138">
        <v>0.5</v>
      </c>
      <c r="C138">
        <v>0.5</v>
      </c>
      <c r="D138">
        <v>0.83333333333333326</v>
      </c>
      <c r="E138">
        <v>0.5</v>
      </c>
      <c r="F138">
        <v>0.83333333333333326</v>
      </c>
      <c r="G138">
        <v>0.5</v>
      </c>
    </row>
    <row r="139" spans="1:7" x14ac:dyDescent="0.15">
      <c r="A139" t="str">
        <f>HYPERLINK("./new_k5/query_cmdrels_weight_analyze/0.1_0.7_0.2/au_48362.xlsx","au_48362")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HYPERLINK("./new_k5/query_cmdrels_weight_analyze/0.1_0.7_0.2/au_488435.xlsx","au_488435")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HYPERLINK("./new_k5/query_cmdrels_weight_analyze/0.1_0.7_0.2/au_493826.xlsx","au_493826")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0.2857142857142857</v>
      </c>
      <c r="F141">
        <v>0.14285714285714279</v>
      </c>
      <c r="G141">
        <v>0.2857142857142857</v>
      </c>
    </row>
    <row r="142" spans="1:7" x14ac:dyDescent="0.15">
      <c r="A142" t="str">
        <f>HYPERLINK("./new_k5/query_cmdrels_weight_analyze/0.1_0.7_0.2/au_502110.xlsx","au_502110")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HYPERLINK("./new_k5/query_cmdrels_weight_analyze/0.1_0.7_0.2/au_50344.xlsx","au_50344")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HYPERLINK("./new_k5/query_cmdrels_weight_analyze/0.1_0.7_0.2/au_511467.xlsx","au_511467")</f>
        <v>au_511467</v>
      </c>
      <c r="B144">
        <v>0</v>
      </c>
      <c r="C144">
        <v>0.16666666666666671</v>
      </c>
      <c r="D144">
        <v>0.19444444444444439</v>
      </c>
      <c r="E144">
        <v>0.16666666666666671</v>
      </c>
      <c r="F144">
        <v>0.19444444444444439</v>
      </c>
      <c r="G144">
        <v>0.16666666666666671</v>
      </c>
    </row>
    <row r="145" spans="1:7" x14ac:dyDescent="0.15">
      <c r="A145" t="str">
        <f>HYPERLINK("./new_k5/query_cmdrels_weight_analyze/0.1_0.7_0.2/au_513046.xlsx","au_513046")</f>
        <v>au_513046</v>
      </c>
      <c r="B145">
        <v>0.25</v>
      </c>
      <c r="C145">
        <v>0</v>
      </c>
      <c r="D145">
        <v>0.5</v>
      </c>
      <c r="E145">
        <v>8.3333333333333329E-2</v>
      </c>
      <c r="F145">
        <v>0.5</v>
      </c>
      <c r="G145">
        <v>0.35833333333333328</v>
      </c>
    </row>
    <row r="146" spans="1:7" x14ac:dyDescent="0.15">
      <c r="A146" t="str">
        <f>HYPERLINK("./new_k5/query_cmdrels_weight_analyze/0.1_0.7_0.2/au_517354.xlsx","au_517354")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0.34523809523809518</v>
      </c>
    </row>
    <row r="147" spans="1:7" x14ac:dyDescent="0.15">
      <c r="A147" t="str">
        <f>HYPERLINK("./new_k5/query_cmdrels_weight_analyze/0.1_0.7_0.2/au_522431.xlsx","au_522431")</f>
        <v>au_522431</v>
      </c>
      <c r="B147">
        <v>0</v>
      </c>
      <c r="C147">
        <v>0.2</v>
      </c>
      <c r="D147">
        <v>0.23333333333333331</v>
      </c>
      <c r="E147">
        <v>0.33333333333333331</v>
      </c>
      <c r="F147">
        <v>0.54333333333333333</v>
      </c>
      <c r="G147">
        <v>0.48333333333333328</v>
      </c>
    </row>
    <row r="148" spans="1:7" x14ac:dyDescent="0.15">
      <c r="A148" t="str">
        <f>HYPERLINK("./new_k5/query_cmdrels_weight_analyze/0.1_0.7_0.2/au_52773.xlsx","au_52773")</f>
        <v>au_52773</v>
      </c>
      <c r="B148">
        <v>0</v>
      </c>
      <c r="C148">
        <v>0.2</v>
      </c>
      <c r="D148">
        <v>0.23333333333333331</v>
      </c>
      <c r="E148">
        <v>0.2</v>
      </c>
      <c r="F148">
        <v>0.23333333333333331</v>
      </c>
      <c r="G148">
        <v>0.2</v>
      </c>
    </row>
    <row r="149" spans="1:7" x14ac:dyDescent="0.15">
      <c r="A149" t="str">
        <f>HYPERLINK("./new_k5/query_cmdrels_weight_analyze/0.1_0.7_0.2/au_528411.xlsx","au_528411")</f>
        <v>au_528411</v>
      </c>
      <c r="B149">
        <v>0</v>
      </c>
      <c r="C149">
        <v>0</v>
      </c>
      <c r="D149">
        <v>0</v>
      </c>
      <c r="E149">
        <v>0.25</v>
      </c>
      <c r="F149">
        <v>0</v>
      </c>
      <c r="G149">
        <v>0.25</v>
      </c>
    </row>
    <row r="150" spans="1:7" x14ac:dyDescent="0.15">
      <c r="A150" t="str">
        <f>HYPERLINK("./new_k5/query_cmdrels_weight_analyze/0.1_0.7_0.2/au_53263.xlsx","au_53263")</f>
        <v>au_53263</v>
      </c>
      <c r="B150">
        <v>0.25</v>
      </c>
      <c r="C150">
        <v>0</v>
      </c>
      <c r="D150">
        <v>0.75</v>
      </c>
      <c r="E150">
        <v>0.29166666666666657</v>
      </c>
      <c r="F150">
        <v>0.75</v>
      </c>
      <c r="G150">
        <v>0.29166666666666657</v>
      </c>
    </row>
    <row r="151" spans="1:7" x14ac:dyDescent="0.15">
      <c r="A151" t="str">
        <f>HYPERLINK("./new_k5/query_cmdrels_weight_analyze/0.1_0.7_0.2/au_53444.xlsx","au_53444")</f>
        <v>au_53444</v>
      </c>
      <c r="B151">
        <v>0.5</v>
      </c>
      <c r="C151">
        <v>0</v>
      </c>
      <c r="D151">
        <v>0.5</v>
      </c>
      <c r="E151">
        <v>0</v>
      </c>
      <c r="F151">
        <v>0.5</v>
      </c>
      <c r="G151">
        <v>0.1</v>
      </c>
    </row>
    <row r="152" spans="1:7" x14ac:dyDescent="0.15">
      <c r="A152" t="str">
        <f>HYPERLINK("./new_k5/query_cmdrels_weight_analyze/0.1_0.7_0.2/au_538208.xlsx","au_538208")</f>
        <v>au_538208</v>
      </c>
      <c r="B152">
        <v>0.125</v>
      </c>
      <c r="C152">
        <v>0.125</v>
      </c>
      <c r="D152">
        <v>0.375</v>
      </c>
      <c r="E152">
        <v>0.375</v>
      </c>
      <c r="F152">
        <v>0.5</v>
      </c>
      <c r="G152">
        <v>0.625</v>
      </c>
    </row>
    <row r="153" spans="1:7" x14ac:dyDescent="0.15">
      <c r="A153" t="str">
        <f>HYPERLINK("./new_k5/query_cmdrels_weight_analyze/0.1_0.7_0.2/au_53822.xlsx","au_53822")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HYPERLINK("./new_k5/query_cmdrels_weight_analyze/0.1_0.7_0.2/au_539243.xlsx","au_539243")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</v>
      </c>
    </row>
    <row r="155" spans="1:7" x14ac:dyDescent="0.15">
      <c r="A155" t="str">
        <f>HYPERLINK("./new_k5/query_cmdrels_weight_analyze/0.1_0.7_0.2/au_558280.xlsx","au_558280")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0.58888888888888891</v>
      </c>
    </row>
    <row r="156" spans="1:7" x14ac:dyDescent="0.15">
      <c r="A156" t="str">
        <f>HYPERLINK("./new_k5/query_cmdrels_weight_analyze/0.1_0.7_0.2/au_558669.xlsx","au_558669")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HYPERLINK("./new_k5/query_cmdrels_weight_analyze/0.1_0.7_0.2/au_55868.xlsx","au_55868")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HYPERLINK("./new_k5/query_cmdrels_weight_analyze/0.1_0.7_0.2/au_561.xlsx","au_561")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0.65</v>
      </c>
    </row>
    <row r="159" spans="1:7" x14ac:dyDescent="0.15">
      <c r="A159" t="str">
        <f>HYPERLINK("./new_k5/query_cmdrels_weight_analyze/0.1_0.7_0.2/au_564567.xlsx","au_564567")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HYPERLINK("./new_k5/query_cmdrels_weight_analyze/0.1_0.7_0.2/au_57994.xlsx","au_57994")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0.23809523809523811</v>
      </c>
      <c r="F160">
        <v>0.5714285714285714</v>
      </c>
      <c r="G160">
        <v>0.23809523809523811</v>
      </c>
    </row>
    <row r="161" spans="1:7" x14ac:dyDescent="0.15">
      <c r="A161" t="str">
        <f>HYPERLINK("./new_k5/query_cmdrels_weight_analyze/0.1_0.7_0.2/au_589210.xlsx","au_589210")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0.35</v>
      </c>
    </row>
    <row r="162" spans="1:7" x14ac:dyDescent="0.15">
      <c r="A162" t="str">
        <f>HYPERLINK("./new_k5/query_cmdrels_weight_analyze/0.1_0.7_0.2/au_5911.xlsx","au_5911")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HYPERLINK("./new_k5/query_cmdrels_weight_analyze/0.1_0.7_0.2/au_59356.xlsx","au_59356")</f>
        <v>au_59356</v>
      </c>
      <c r="B163">
        <v>0</v>
      </c>
      <c r="C163">
        <v>0</v>
      </c>
      <c r="D163">
        <v>0.16666666666666671</v>
      </c>
      <c r="E163">
        <v>0</v>
      </c>
      <c r="F163">
        <v>0.16666666666666671</v>
      </c>
      <c r="G163">
        <v>0</v>
      </c>
    </row>
    <row r="164" spans="1:7" x14ac:dyDescent="0.15">
      <c r="A164" t="str">
        <f>HYPERLINK("./new_k5/query_cmdrels_weight_analyze/0.1_0.7_0.2/au_609850.xlsx","au_609850")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HYPERLINK("./new_k5/query_cmdrels_weight_analyze/0.1_0.7_0.2/au_61408.xlsx","au_61408")</f>
        <v>au_61408</v>
      </c>
      <c r="B165">
        <v>0</v>
      </c>
      <c r="C165">
        <v>0</v>
      </c>
      <c r="D165">
        <v>0.16666666666666671</v>
      </c>
      <c r="E165">
        <v>0.16666666666666671</v>
      </c>
      <c r="F165">
        <v>0.16666666666666671</v>
      </c>
      <c r="G165">
        <v>0.16666666666666671</v>
      </c>
    </row>
    <row r="166" spans="1:7" x14ac:dyDescent="0.15">
      <c r="A166" t="str">
        <f>HYPERLINK("./new_k5/query_cmdrels_weight_analyze/0.1_0.7_0.2/au_617850.xlsx","au_617850")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HYPERLINK("./new_k5/query_cmdrels_weight_analyze/0.1_0.7_0.2/au_62073.xlsx","au_62073")</f>
        <v>au_62073</v>
      </c>
      <c r="B167">
        <v>0</v>
      </c>
      <c r="C167">
        <v>0.2</v>
      </c>
      <c r="D167">
        <v>0.23333333333333331</v>
      </c>
      <c r="E167">
        <v>0.33333333333333331</v>
      </c>
      <c r="F167">
        <v>0.23333333333333331</v>
      </c>
      <c r="G167">
        <v>0.48333333333333328</v>
      </c>
    </row>
    <row r="168" spans="1:7" x14ac:dyDescent="0.15">
      <c r="A168" t="str">
        <f>HYPERLINK("./new_k5/query_cmdrels_weight_analyze/0.1_0.7_0.2/au_620930.xlsx","au_620930")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0.45333333333333331</v>
      </c>
    </row>
    <row r="169" spans="1:7" x14ac:dyDescent="0.15">
      <c r="A169" t="str">
        <f>HYPERLINK("./new_k5/query_cmdrels_weight_analyze/0.1_0.7_0.2/au_62492.xlsx","au_62492")</f>
        <v>au_62492</v>
      </c>
      <c r="B169">
        <v>0.2</v>
      </c>
      <c r="C169">
        <v>0.2</v>
      </c>
      <c r="D169">
        <v>0.33333333333333331</v>
      </c>
      <c r="E169">
        <v>0.6</v>
      </c>
      <c r="F169">
        <v>0.48333333333333328</v>
      </c>
      <c r="G169">
        <v>0.8</v>
      </c>
    </row>
    <row r="170" spans="1:7" x14ac:dyDescent="0.15">
      <c r="A170" t="str">
        <f>HYPERLINK("./new_k5/query_cmdrels_weight_analyze/0.1_0.7_0.2/au_626078.xlsx","au_626078")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HYPERLINK("./new_k5/query_cmdrels_weight_analyze/0.1_0.7_0.2/au_636944.xlsx","au_636944")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HYPERLINK("./new_k5/query_cmdrels_weight_analyze/0.1_0.7_0.2/au_648603.xlsx","au_648603")</f>
        <v>au_648603</v>
      </c>
      <c r="B172">
        <v>0.25</v>
      </c>
      <c r="C172">
        <v>0.25</v>
      </c>
      <c r="D172">
        <v>0.25</v>
      </c>
      <c r="E172">
        <v>0.25</v>
      </c>
      <c r="F172">
        <v>0.25</v>
      </c>
      <c r="G172">
        <v>0.375</v>
      </c>
    </row>
    <row r="173" spans="1:7" x14ac:dyDescent="0.15">
      <c r="A173" t="str">
        <f>HYPERLINK("./new_k5/query_cmdrels_weight_analyze/0.1_0.7_0.2/au_65331.xlsx","au_65331")</f>
        <v>au_65331</v>
      </c>
      <c r="B173">
        <v>0</v>
      </c>
      <c r="C173">
        <v>0.16666666666666671</v>
      </c>
      <c r="D173">
        <v>8.3333333333333329E-2</v>
      </c>
      <c r="E173">
        <v>0.27777777777777768</v>
      </c>
      <c r="F173">
        <v>0.16666666666666671</v>
      </c>
      <c r="G173">
        <v>0.27777777777777768</v>
      </c>
    </row>
    <row r="174" spans="1:7" x14ac:dyDescent="0.15">
      <c r="A174" t="str">
        <f>HYPERLINK("./new_k5/query_cmdrels_weight_analyze/0.1_0.7_0.2/au_66000.xlsx","au_66000")</f>
        <v>au_66000</v>
      </c>
      <c r="B174">
        <v>0</v>
      </c>
      <c r="C174">
        <v>0.2</v>
      </c>
      <c r="D174">
        <v>0</v>
      </c>
      <c r="E174">
        <v>0.2</v>
      </c>
      <c r="F174">
        <v>0</v>
      </c>
      <c r="G174">
        <v>0.42</v>
      </c>
    </row>
    <row r="175" spans="1:7" x14ac:dyDescent="0.15">
      <c r="A175" t="str">
        <f>HYPERLINK("./new_k5/query_cmdrels_weight_analyze/0.1_0.7_0.2/au_660846.xlsx","au_660846")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HYPERLINK("./new_k5/query_cmdrels_weight_analyze/0.1_0.7_0.2/au_662935.xlsx","au_662935")</f>
        <v>au_662935</v>
      </c>
      <c r="B176">
        <v>0.125</v>
      </c>
      <c r="C176">
        <v>0.125</v>
      </c>
      <c r="D176">
        <v>0.125</v>
      </c>
      <c r="E176">
        <v>0.375</v>
      </c>
      <c r="F176">
        <v>0.125</v>
      </c>
      <c r="G176">
        <v>0.375</v>
      </c>
    </row>
    <row r="177" spans="1:7" x14ac:dyDescent="0.15">
      <c r="A177" t="str">
        <f>HYPERLINK("./new_k5/query_cmdrels_weight_analyze/0.1_0.7_0.2/au_67663.xlsx","au_67663")</f>
        <v>au_67663</v>
      </c>
      <c r="B177">
        <v>0</v>
      </c>
      <c r="C177">
        <v>0.25</v>
      </c>
      <c r="D177">
        <v>0.29166666666666657</v>
      </c>
      <c r="E177">
        <v>0.5</v>
      </c>
      <c r="F177">
        <v>0.29166666666666657</v>
      </c>
      <c r="G177">
        <v>0.5</v>
      </c>
    </row>
    <row r="178" spans="1:7" x14ac:dyDescent="0.15">
      <c r="A178" t="str">
        <f>HYPERLINK("./new_k5/query_cmdrels_weight_analyze/0.1_0.7_0.2/au_68028.xlsx","au_68028")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0.42857142857142849</v>
      </c>
      <c r="F178">
        <v>0.37142857142857139</v>
      </c>
      <c r="G178">
        <v>0.42857142857142849</v>
      </c>
    </row>
    <row r="179" spans="1:7" x14ac:dyDescent="0.15">
      <c r="A179" t="str">
        <f>HYPERLINK("./new_k5/query_cmdrels_weight_analyze/0.1_0.7_0.2/au_681312.xlsx","au_681312")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0.23809523809523811</v>
      </c>
      <c r="F179">
        <v>0.42857142857142849</v>
      </c>
      <c r="G179">
        <v>0.34523809523809518</v>
      </c>
    </row>
    <row r="180" spans="1:7" x14ac:dyDescent="0.15">
      <c r="A180" t="str">
        <f>HYPERLINK("./new_k5/query_cmdrels_weight_analyze/0.1_0.7_0.2/au_686239.xlsx","au_686239")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HYPERLINK("./new_k5/query_cmdrels_weight_analyze/0.1_0.7_0.2/au_68809.xlsx","au_68809")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0.28333333333333333</v>
      </c>
    </row>
    <row r="182" spans="1:7" x14ac:dyDescent="0.15">
      <c r="A182" t="str">
        <f>HYPERLINK("./new_k5/query_cmdrels_weight_analyze/0.1_0.7_0.2/au_69556.xlsx","au_69556")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HYPERLINK("./new_k5/query_cmdrels_weight_analyze/0.1_0.7_0.2/au_698993.xlsx","au_698993")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HYPERLINK("./new_k5/query_cmdrels_weight_analyze/0.1_0.7_0.2/au_707881.xlsx","au_707881")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HYPERLINK("./new_k5/query_cmdrels_weight_analyze/0.1_0.7_0.2/au_709594.xlsx","au_709594")</f>
        <v>au_709594</v>
      </c>
      <c r="B185">
        <v>0.33333333333333331</v>
      </c>
      <c r="C185">
        <v>0.33333333333333331</v>
      </c>
      <c r="D185">
        <v>0.66666666666666663</v>
      </c>
      <c r="E185">
        <v>0.33333333333333331</v>
      </c>
      <c r="F185">
        <v>0.91666666666666663</v>
      </c>
      <c r="G185">
        <v>0.5</v>
      </c>
    </row>
    <row r="186" spans="1:7" x14ac:dyDescent="0.15">
      <c r="A186" t="str">
        <f>HYPERLINK("./new_k5/query_cmdrels_weight_analyze/0.1_0.7_0.2/au_71309.xlsx","au_71309")</f>
        <v>au_71309</v>
      </c>
      <c r="B186">
        <v>0.125</v>
      </c>
      <c r="C186">
        <v>0.125</v>
      </c>
      <c r="D186">
        <v>0.20833333333333329</v>
      </c>
      <c r="E186">
        <v>0.20833333333333329</v>
      </c>
      <c r="F186">
        <v>0.20833333333333329</v>
      </c>
      <c r="G186">
        <v>0.40208333333333329</v>
      </c>
    </row>
    <row r="187" spans="1:7" x14ac:dyDescent="0.15">
      <c r="A187" t="str">
        <f>HYPERLINK("./new_k5/query_cmdrels_weight_analyze/0.1_0.7_0.2/au_7138.xlsx","au_7138")</f>
        <v>au_7138</v>
      </c>
      <c r="B187">
        <v>0.25</v>
      </c>
      <c r="C187">
        <v>0</v>
      </c>
      <c r="D187">
        <v>0.75</v>
      </c>
      <c r="E187">
        <v>0</v>
      </c>
      <c r="F187">
        <v>0.75</v>
      </c>
      <c r="G187">
        <v>0</v>
      </c>
    </row>
    <row r="188" spans="1:7" x14ac:dyDescent="0.15">
      <c r="A188" t="str">
        <f>HYPERLINK("./new_k5/query_cmdrels_weight_analyze/0.1_0.7_0.2/au_72549.xlsx","au_72549")</f>
        <v>au_72549</v>
      </c>
      <c r="B188">
        <v>0</v>
      </c>
      <c r="C188">
        <v>0.25</v>
      </c>
      <c r="D188">
        <v>0</v>
      </c>
      <c r="E188">
        <v>0.25</v>
      </c>
      <c r="F188">
        <v>0</v>
      </c>
      <c r="G188">
        <v>0.25</v>
      </c>
    </row>
    <row r="189" spans="1:7" x14ac:dyDescent="0.15">
      <c r="A189" t="str">
        <f>HYPERLINK("./new_k5/query_cmdrels_weight_analyze/0.1_0.7_0.2/au_740805.xlsx","au_740805")</f>
        <v>au_740805</v>
      </c>
      <c r="B189">
        <v>0.25</v>
      </c>
      <c r="C189">
        <v>0</v>
      </c>
      <c r="D189">
        <v>0.41666666666666657</v>
      </c>
      <c r="E189">
        <v>8.3333333333333329E-2</v>
      </c>
      <c r="F189">
        <v>0.41666666666666657</v>
      </c>
      <c r="G189">
        <v>0.20833333333333329</v>
      </c>
    </row>
    <row r="190" spans="1:7" x14ac:dyDescent="0.15">
      <c r="A190" t="str">
        <f>HYPERLINK("./new_k5/query_cmdrels_weight_analyze/0.1_0.7_0.2/au_760796.xlsx","au_760796")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HYPERLINK("./new_k5/query_cmdrels_weight_analyze/0.1_0.7_0.2/au_762846.xlsx","au_762846")</f>
        <v>au_762846</v>
      </c>
      <c r="B191">
        <v>0.16666666666666671</v>
      </c>
      <c r="C191">
        <v>0</v>
      </c>
      <c r="D191">
        <v>0.5</v>
      </c>
      <c r="E191">
        <v>5.5555555555555552E-2</v>
      </c>
      <c r="F191">
        <v>0.6333333333333333</v>
      </c>
      <c r="G191">
        <v>5.5555555555555552E-2</v>
      </c>
    </row>
    <row r="192" spans="1:7" x14ac:dyDescent="0.15">
      <c r="A192" t="str">
        <f>HYPERLINK("./new_k5/query_cmdrels_weight_analyze/0.1_0.7_0.2/au_767786.xlsx","au_767786")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0.76</v>
      </c>
    </row>
    <row r="193" spans="1:7" x14ac:dyDescent="0.15">
      <c r="A193" t="str">
        <f>HYPERLINK("./new_k5/query_cmdrels_weight_analyze/0.1_0.7_0.2/au_778906.xlsx","au_778906")</f>
        <v>au_778906</v>
      </c>
      <c r="B193">
        <v>0.2</v>
      </c>
      <c r="C193">
        <v>0.2</v>
      </c>
      <c r="D193">
        <v>0.33333333333333331</v>
      </c>
      <c r="E193">
        <v>0.6</v>
      </c>
      <c r="F193">
        <v>0.33333333333333331</v>
      </c>
      <c r="G193">
        <v>0.6</v>
      </c>
    </row>
    <row r="194" spans="1:7" x14ac:dyDescent="0.15">
      <c r="A194" t="str">
        <f>HYPERLINK("./new_k5/query_cmdrels_weight_analyze/0.1_0.7_0.2/au_818929.xlsx","au_818929")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0.3</v>
      </c>
    </row>
    <row r="195" spans="1:7" x14ac:dyDescent="0.15">
      <c r="A195" t="str">
        <f>HYPERLINK("./new_k5/query_cmdrels_weight_analyze/0.1_0.7_0.2/au_844876.xlsx","au_844876")</f>
        <v>au_844876</v>
      </c>
      <c r="B195">
        <v>0.5</v>
      </c>
      <c r="C195">
        <v>0.5</v>
      </c>
      <c r="D195">
        <v>0.5</v>
      </c>
      <c r="E195">
        <v>0.5</v>
      </c>
      <c r="F195">
        <v>0.5</v>
      </c>
      <c r="G195">
        <v>0.75</v>
      </c>
    </row>
    <row r="196" spans="1:7" x14ac:dyDescent="0.15">
      <c r="A196" t="str">
        <f>HYPERLINK("./new_k5/query_cmdrels_weight_analyze/0.1_0.7_0.2/au_85318.xlsx","au_85318")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0.4</v>
      </c>
    </row>
    <row r="197" spans="1:7" x14ac:dyDescent="0.15">
      <c r="A197" t="str">
        <f>HYPERLINK("./new_k5/query_cmdrels_weight_analyze/0.1_0.7_0.2/au_854332.xlsx","au_854332")</f>
        <v>au_854332</v>
      </c>
      <c r="B197">
        <v>0.33333333333333331</v>
      </c>
      <c r="C197">
        <v>0</v>
      </c>
      <c r="D197">
        <v>0.55555555555555547</v>
      </c>
      <c r="E197">
        <v>0.1111111111111111</v>
      </c>
      <c r="F197">
        <v>0.55555555555555547</v>
      </c>
      <c r="G197">
        <v>0.24444444444444449</v>
      </c>
    </row>
    <row r="198" spans="1:7" x14ac:dyDescent="0.15">
      <c r="A198" t="str">
        <f>HYPERLINK("./new_k5/query_cmdrels_weight_analyze/0.1_0.7_0.2/au_854373.xlsx","au_854373")</f>
        <v>au_854373</v>
      </c>
      <c r="B198">
        <v>0.33333333333333331</v>
      </c>
      <c r="C198">
        <v>0</v>
      </c>
      <c r="D198">
        <v>0.55555555555555547</v>
      </c>
      <c r="E198">
        <v>0.38888888888888878</v>
      </c>
      <c r="F198">
        <v>0.80555555555555547</v>
      </c>
      <c r="G198">
        <v>0.38888888888888878</v>
      </c>
    </row>
    <row r="199" spans="1:7" x14ac:dyDescent="0.15">
      <c r="A199" t="str">
        <f>HYPERLINK("./new_k5/query_cmdrels_weight_analyze/0.1_0.7_0.2/au_86843.xlsx","au_86843")</f>
        <v>au_86843</v>
      </c>
      <c r="B199">
        <v>0</v>
      </c>
      <c r="C199">
        <v>0</v>
      </c>
      <c r="D199">
        <v>0</v>
      </c>
      <c r="E199">
        <v>6.6666666666666666E-2</v>
      </c>
      <c r="F199">
        <v>0.04</v>
      </c>
      <c r="G199">
        <v>6.6666666666666666E-2</v>
      </c>
    </row>
    <row r="200" spans="1:7" x14ac:dyDescent="0.15">
      <c r="A200" t="str">
        <f>HYPERLINK("./new_k5/query_cmdrels_weight_analyze/0.1_0.7_0.2/au_88108.xlsx","au_88108")</f>
        <v>au_88108</v>
      </c>
      <c r="B200">
        <v>0</v>
      </c>
      <c r="C200">
        <v>0</v>
      </c>
      <c r="D200">
        <v>0.1</v>
      </c>
      <c r="E200">
        <v>6.6666666666666666E-2</v>
      </c>
      <c r="F200">
        <v>0.1</v>
      </c>
      <c r="G200">
        <v>6.6666666666666666E-2</v>
      </c>
    </row>
    <row r="201" spans="1:7" x14ac:dyDescent="0.15">
      <c r="A201" t="str">
        <f>HYPERLINK("./new_k5/query_cmdrels_weight_analyze/0.1_0.7_0.2/au_90214.xlsx","au_90214")</f>
        <v>au_90214</v>
      </c>
      <c r="B201">
        <v>0</v>
      </c>
      <c r="C201">
        <v>0</v>
      </c>
      <c r="D201">
        <v>0.16666666666666671</v>
      </c>
      <c r="E201">
        <v>0</v>
      </c>
      <c r="F201">
        <v>0.16666666666666671</v>
      </c>
      <c r="G201">
        <v>0.2166666666666667</v>
      </c>
    </row>
    <row r="202" spans="1:7" x14ac:dyDescent="0.15">
      <c r="A202" t="str">
        <f>HYPERLINK("./new_k5/query_cmdrels_weight_analyze/0.1_0.7_0.2/au_90339.xlsx","au_90339")</f>
        <v>au_90339</v>
      </c>
      <c r="B202">
        <v>0</v>
      </c>
      <c r="C202">
        <v>0.14285714285714279</v>
      </c>
      <c r="D202">
        <v>4.7619047619047623E-2</v>
      </c>
      <c r="E202">
        <v>0.42857142857142849</v>
      </c>
      <c r="F202">
        <v>0.2047619047619047</v>
      </c>
      <c r="G202">
        <v>0.42857142857142849</v>
      </c>
    </row>
    <row r="203" spans="1:7" x14ac:dyDescent="0.15">
      <c r="A203" t="str">
        <f>HYPERLINK("./new_k5/query_cmdrels_weight_analyze/0.1_0.7_0.2/au_91286.xlsx","au_91286")</f>
        <v>au_91286</v>
      </c>
      <c r="B203">
        <v>0.5</v>
      </c>
      <c r="C203">
        <v>0</v>
      </c>
      <c r="D203">
        <v>0.5</v>
      </c>
      <c r="E203">
        <v>0</v>
      </c>
      <c r="F203">
        <v>0.5</v>
      </c>
      <c r="G203">
        <v>0.125</v>
      </c>
    </row>
    <row r="204" spans="1:7" x14ac:dyDescent="0.15">
      <c r="A204" t="str">
        <f>HYPERLINK("./new_k5/query_cmdrels_weight_analyze/0.1_0.7_0.2/au_9135.xlsx","au_9135")</f>
        <v>au_9135</v>
      </c>
      <c r="B204">
        <v>0.1</v>
      </c>
      <c r="C204">
        <v>0.1</v>
      </c>
      <c r="D204">
        <v>0.16666666666666671</v>
      </c>
      <c r="E204">
        <v>0.16666666666666671</v>
      </c>
      <c r="F204">
        <v>0.24166666666666661</v>
      </c>
      <c r="G204">
        <v>0.24166666666666661</v>
      </c>
    </row>
    <row r="205" spans="1:7" x14ac:dyDescent="0.15">
      <c r="A205" t="str">
        <f>HYPERLINK("./new_k5/query_cmdrels_weight_analyze/0.1_0.7_0.2/au_935569.xlsx","au_935569")</f>
        <v>au_935569</v>
      </c>
      <c r="B205">
        <v>0.14285714285714279</v>
      </c>
      <c r="C205">
        <v>0</v>
      </c>
      <c r="D205">
        <v>0.42857142857142849</v>
      </c>
      <c r="E205">
        <v>0.16666666666666671</v>
      </c>
      <c r="F205">
        <v>0.54285714285714282</v>
      </c>
      <c r="G205">
        <v>0.16666666666666671</v>
      </c>
    </row>
    <row r="206" spans="1:7" x14ac:dyDescent="0.15">
      <c r="A206" t="str">
        <f>HYPERLINK("./new_k5/query_cmdrels_weight_analyze/0.1_0.7_0.2/au_97936.xlsx","au_97936")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0.39285714285714279</v>
      </c>
    </row>
    <row r="207" spans="1:7" x14ac:dyDescent="0.15">
      <c r="A207" t="str">
        <f>HYPERLINK("./new_k5/query_cmdrels_weight_analyze/0.1_0.7_0.2/so_10235778.xlsx","so_10235778")</f>
        <v>so_10235778</v>
      </c>
      <c r="B207">
        <v>0.25</v>
      </c>
      <c r="C207">
        <v>0.25</v>
      </c>
      <c r="D207">
        <v>0.5</v>
      </c>
      <c r="E207">
        <v>0.25</v>
      </c>
      <c r="F207">
        <v>0.5</v>
      </c>
      <c r="G207">
        <v>0.375</v>
      </c>
    </row>
    <row r="208" spans="1:7" x14ac:dyDescent="0.15">
      <c r="A208" t="str">
        <f>HYPERLINK("./new_k5/query_cmdrels_weight_analyze/0.1_0.7_0.2/so_1045910.xlsx","so_1045910")</f>
        <v>so_1045910</v>
      </c>
      <c r="B208">
        <v>0.25</v>
      </c>
      <c r="C208">
        <v>0</v>
      </c>
      <c r="D208">
        <v>0.25</v>
      </c>
      <c r="E208">
        <v>0.125</v>
      </c>
      <c r="F208">
        <v>0.25</v>
      </c>
      <c r="G208">
        <v>0.25</v>
      </c>
    </row>
    <row r="209" spans="1:7" x14ac:dyDescent="0.15">
      <c r="A209" t="str">
        <f>HYPERLINK("./new_k5/query_cmdrels_weight_analyze/0.1_0.7_0.2/so_10557360.xlsx","so_10557360")</f>
        <v>so_10557360</v>
      </c>
      <c r="B209">
        <v>0</v>
      </c>
      <c r="C209">
        <v>0</v>
      </c>
      <c r="D209">
        <v>0</v>
      </c>
      <c r="E209">
        <v>0.1</v>
      </c>
      <c r="F209">
        <v>0</v>
      </c>
      <c r="G209">
        <v>0.1</v>
      </c>
    </row>
    <row r="210" spans="1:7" x14ac:dyDescent="0.15">
      <c r="A210" t="str">
        <f>HYPERLINK("./new_k5/query_cmdrels_weight_analyze/0.1_0.7_0.2/so_1058047.xlsx","so_1058047")</f>
        <v>so_1058047</v>
      </c>
      <c r="B210">
        <v>0.25</v>
      </c>
      <c r="C210">
        <v>0.25</v>
      </c>
      <c r="D210">
        <v>0.25</v>
      </c>
      <c r="E210">
        <v>0.41666666666666657</v>
      </c>
      <c r="F210">
        <v>0.25</v>
      </c>
      <c r="G210">
        <v>0.41666666666666657</v>
      </c>
    </row>
    <row r="211" spans="1:7" x14ac:dyDescent="0.15">
      <c r="A211" t="str">
        <f>HYPERLINK("./new_k5/query_cmdrels_weight_analyze/0.1_0.7_0.2/so_10829402.xlsx","so_10829402")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HYPERLINK("./new_k5/query_cmdrels_weight_analyze/0.1_0.7_0.2/so_1088098.xlsx","so_1088098")</f>
        <v>so_1088098</v>
      </c>
      <c r="B212">
        <v>0</v>
      </c>
      <c r="C212">
        <v>0</v>
      </c>
      <c r="D212">
        <v>0.125</v>
      </c>
      <c r="E212">
        <v>0.125</v>
      </c>
      <c r="F212">
        <v>0.125</v>
      </c>
      <c r="G212">
        <v>0.125</v>
      </c>
    </row>
    <row r="213" spans="1:7" x14ac:dyDescent="0.15">
      <c r="A213" t="str">
        <f>HYPERLINK("./new_k5/query_cmdrels_weight_analyze/0.1_0.7_0.2/so_10990949.xlsx","so_10990949")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0.7</v>
      </c>
    </row>
    <row r="214" spans="1:7" x14ac:dyDescent="0.15">
      <c r="A214" t="str">
        <f>HYPERLINK("./new_k5/query_cmdrels_weight_analyze/0.1_0.7_0.2/so_11211705.xlsx","so_11211705")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HYPERLINK("./new_k5/query_cmdrels_weight_analyze/0.1_0.7_0.2/so_112932.xlsx","so_112932")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HYPERLINK("./new_k5/query_cmdrels_weight_analyze/0.1_0.7_0.2/so_11392189.xlsx","so_11392189")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0.18333333333333329</v>
      </c>
    </row>
    <row r="217" spans="1:7" x14ac:dyDescent="0.15">
      <c r="A217" t="str">
        <f>HYPERLINK("./new_k5/query_cmdrels_weight_analyze/0.1_0.7_0.2/so_1183183.xlsx","so_1183183")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0.25</v>
      </c>
    </row>
    <row r="218" spans="1:7" x14ac:dyDescent="0.15">
      <c r="A218" t="str">
        <f>HYPERLINK("./new_k5/query_cmdrels_weight_analyze/0.1_0.7_0.2/so_1194882.xlsx","so_1194882")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HYPERLINK("./new_k5/query_cmdrels_weight_analyze/0.1_0.7_0.2/so_12120935.xlsx","so_12120935")</f>
        <v>so_12120935</v>
      </c>
      <c r="B219">
        <v>0.25</v>
      </c>
      <c r="C219">
        <v>0.25</v>
      </c>
      <c r="D219">
        <v>0.41666666666666657</v>
      </c>
      <c r="E219">
        <v>0.5</v>
      </c>
      <c r="F219">
        <v>0.41666666666666657</v>
      </c>
      <c r="G219">
        <v>0.6875</v>
      </c>
    </row>
    <row r="220" spans="1:7" x14ac:dyDescent="0.15">
      <c r="A220" t="str">
        <f>HYPERLINK("./new_k5/query_cmdrels_weight_analyze/0.1_0.7_0.2/so_12313384.xlsx","so_12313384")</f>
        <v>so_12313384</v>
      </c>
      <c r="B220">
        <v>0</v>
      </c>
      <c r="C220">
        <v>0.33333333333333331</v>
      </c>
      <c r="D220">
        <v>0.16666666666666671</v>
      </c>
      <c r="E220">
        <v>0.33333333333333331</v>
      </c>
      <c r="F220">
        <v>0.16666666666666671</v>
      </c>
      <c r="G220">
        <v>0.33333333333333331</v>
      </c>
    </row>
    <row r="221" spans="1:7" x14ac:dyDescent="0.15">
      <c r="A221" t="str">
        <f>HYPERLINK("./new_k5/query_cmdrels_weight_analyze/0.1_0.7_0.2/so_12392598.xlsx","so_12392598")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HYPERLINK("./new_k5/query_cmdrels_weight_analyze/0.1_0.7_0.2/so_1241801.xlsx","so_1241801")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HYPERLINK("./new_k5/query_cmdrels_weight_analyze/0.1_0.7_0.2/so_12522269.xlsx","so_12522269")</f>
        <v>so_12522269</v>
      </c>
      <c r="B223">
        <v>0.2</v>
      </c>
      <c r="C223">
        <v>0</v>
      </c>
      <c r="D223">
        <v>0.2</v>
      </c>
      <c r="E223">
        <v>0.1</v>
      </c>
      <c r="F223">
        <v>0.28000000000000003</v>
      </c>
      <c r="G223">
        <v>0.1</v>
      </c>
    </row>
    <row r="224" spans="1:7" x14ac:dyDescent="0.15">
      <c r="A224" t="str">
        <f>HYPERLINK("./new_k5/query_cmdrels_weight_analyze/0.1_0.7_0.2/so_1293907.xlsx","so_1293907")</f>
        <v>so_1293907</v>
      </c>
      <c r="B224">
        <v>0</v>
      </c>
      <c r="C224">
        <v>0.33333333333333331</v>
      </c>
      <c r="D224">
        <v>0</v>
      </c>
      <c r="E224">
        <v>0.66666666666666663</v>
      </c>
      <c r="F224">
        <v>8.3333333333333329E-2</v>
      </c>
      <c r="G224">
        <v>0.8666666666666667</v>
      </c>
    </row>
    <row r="225" spans="1:7" x14ac:dyDescent="0.15">
      <c r="A225" t="str">
        <f>HYPERLINK("./new_k5/query_cmdrels_weight_analyze/0.1_0.7_0.2/so_13428910.xlsx","so_13428910")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HYPERLINK("./new_k5/query_cmdrels_weight_analyze/0.1_0.7_0.2/so_135688.xlsx","so_135688")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HYPERLINK("./new_k5/query_cmdrels_weight_analyze/0.1_0.7_0.2/so_13778273.xlsx","so_13778273")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0.65</v>
      </c>
    </row>
    <row r="228" spans="1:7" x14ac:dyDescent="0.15">
      <c r="A228" t="str">
        <f>HYPERLINK("./new_k5/query_cmdrels_weight_analyze/0.1_0.7_0.2/so_1405611.xlsx","so_1405611")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0.16666666666666671</v>
      </c>
      <c r="F228">
        <v>0.33333333333333331</v>
      </c>
      <c r="G228">
        <v>0.16666666666666671</v>
      </c>
    </row>
    <row r="229" spans="1:7" x14ac:dyDescent="0.15">
      <c r="A229" t="str">
        <f>HYPERLINK("./new_k5/query_cmdrels_weight_analyze/0.1_0.7_0.2/so_14300794.xlsx","so_14300794")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HYPERLINK("./new_k5/query_cmdrels_weight_analyze/0.1_0.7_0.2/so_143791.xlsx","so_143791")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HYPERLINK("./new_k5/query_cmdrels_weight_analyze/0.1_0.7_0.2/so_14750650.xlsx","so_14750650")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6.25E-2</v>
      </c>
    </row>
    <row r="232" spans="1:7" x14ac:dyDescent="0.15">
      <c r="A232" t="str">
        <f>HYPERLINK("./new_k5/query_cmdrels_weight_analyze/0.1_0.7_0.2/so_14978411.xlsx","so_14978411")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HYPERLINK("./new_k5/query_cmdrels_weight_analyze/0.1_0.7_0.2/so_15236308.xlsx","so_15236308")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HYPERLINK("./new_k5/query_cmdrels_weight_analyze/0.1_0.7_0.2/so_15286947.xlsx","so_15286947")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HYPERLINK("./new_k5/query_cmdrels_weight_analyze/0.1_0.7_0.2/so_15402770.xlsx","so_15402770")</f>
        <v>so_15402770</v>
      </c>
      <c r="B235">
        <v>0</v>
      </c>
      <c r="C235">
        <v>0.16666666666666671</v>
      </c>
      <c r="D235">
        <v>0.19444444444444439</v>
      </c>
      <c r="E235">
        <v>0.5</v>
      </c>
      <c r="F235">
        <v>0.19444444444444439</v>
      </c>
      <c r="G235">
        <v>0.66666666666666663</v>
      </c>
    </row>
    <row r="236" spans="1:7" x14ac:dyDescent="0.15">
      <c r="A236" t="str">
        <f>HYPERLINK("./new_k5/query_cmdrels_weight_analyze/0.1_0.7_0.2/so_1570262.xlsx","so_1570262")</f>
        <v>so_1570262</v>
      </c>
      <c r="B236">
        <v>0</v>
      </c>
      <c r="C236">
        <v>0</v>
      </c>
      <c r="D236">
        <v>0</v>
      </c>
      <c r="E236">
        <v>6.6666666666666666E-2</v>
      </c>
      <c r="F236">
        <v>0</v>
      </c>
      <c r="G236">
        <v>0.1466666666666667</v>
      </c>
    </row>
    <row r="237" spans="1:7" x14ac:dyDescent="0.15">
      <c r="A237" t="str">
        <f>HYPERLINK("./new_k5/query_cmdrels_weight_analyze/0.1_0.7_0.2/so_1583219.xlsx","so_1583219")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HYPERLINK("./new_k5/query_cmdrels_weight_analyze/0.1_0.7_0.2/so_15872543.xlsx","so_15872543")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HYPERLINK("./new_k5/query_cmdrels_weight_analyze/0.1_0.7_0.2/so_16038087.xlsx","so_16038087")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0.14285714285714279</v>
      </c>
      <c r="F239">
        <v>0.2857142857142857</v>
      </c>
      <c r="G239">
        <v>0.14285714285714279</v>
      </c>
    </row>
    <row r="240" spans="1:7" x14ac:dyDescent="0.15">
      <c r="A240" t="str">
        <f>HYPERLINK("./new_k5/query_cmdrels_weight_analyze/0.1_0.7_0.2/so_16212656.xlsx","so_16212656")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HYPERLINK("./new_k5/query_cmdrels_weight_analyze/0.1_0.7_0.2/so_16575419.xlsx","so_16575419")</f>
        <v>so_16575419</v>
      </c>
      <c r="B241">
        <v>0.25</v>
      </c>
      <c r="C241">
        <v>0.25</v>
      </c>
      <c r="D241">
        <v>0.25</v>
      </c>
      <c r="E241">
        <v>0.75</v>
      </c>
      <c r="F241">
        <v>0.25</v>
      </c>
      <c r="G241">
        <v>0.75</v>
      </c>
    </row>
    <row r="242" spans="1:7" x14ac:dyDescent="0.15">
      <c r="A242" t="str">
        <f>HYPERLINK("./new_k5/query_cmdrels_weight_analyze/0.1_0.7_0.2/so_17582768.xlsx","so_17582768")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</v>
      </c>
      <c r="F242">
        <v>0.33333333333333331</v>
      </c>
      <c r="G242">
        <v>8.3333333333333329E-2</v>
      </c>
    </row>
    <row r="243" spans="1:7" x14ac:dyDescent="0.15">
      <c r="A243" t="str">
        <f>HYPERLINK("./new_k5/query_cmdrels_weight_analyze/0.1_0.7_0.2/so_17607612.xlsx","so_17607612")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HYPERLINK("./new_k5/query_cmdrels_weight_analyze/0.1_0.7_0.2/so_17829785.xlsx","so_17829785")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HYPERLINK("./new_k5/query_cmdrels_weight_analyze/0.1_0.7_0.2/so_1839841.xlsx","so_1839841")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HYPERLINK("./new_k5/query_cmdrels_weight_analyze/0.1_0.7_0.2/so_18468716.xlsx","so_18468716")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0.46666666666666662</v>
      </c>
    </row>
    <row r="247" spans="1:7" x14ac:dyDescent="0.15">
      <c r="A247" t="str">
        <f>HYPERLINK("./new_k5/query_cmdrels_weight_analyze/0.1_0.7_0.2/so_19196105.xlsx","so_19196105")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HYPERLINK("./new_k5/query_cmdrels_weight_analyze/0.1_0.7_0.2/so_19482123.xlsx","so_19482123")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HYPERLINK("./new_k5/query_cmdrels_weight_analyze/0.1_0.7_0.2/so_1975849.xlsx","so_1975849")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HYPERLINK("./new_k5/query_cmdrels_weight_analyze/0.1_0.7_0.2/so_212528.xlsx","so_212528")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0.45833333333333331</v>
      </c>
    </row>
    <row r="251" spans="1:7" x14ac:dyDescent="0.15">
      <c r="A251" t="str">
        <f>HYPERLINK("./new_k5/query_cmdrels_weight_analyze/0.1_0.7_0.2/so_21620406.xlsx","so_21620406")</f>
        <v>so_21620406</v>
      </c>
      <c r="B251">
        <v>0</v>
      </c>
      <c r="C251">
        <v>0</v>
      </c>
      <c r="D251">
        <v>0.1111111111111111</v>
      </c>
      <c r="E251">
        <v>0.16666666666666671</v>
      </c>
      <c r="F251">
        <v>0.1111111111111111</v>
      </c>
      <c r="G251">
        <v>0.16666666666666671</v>
      </c>
    </row>
    <row r="252" spans="1:7" x14ac:dyDescent="0.15">
      <c r="A252" t="str">
        <f>HYPERLINK("./new_k5/query_cmdrels_weight_analyze/0.1_0.7_0.2/so_23509348.xlsx","so_23509348")</f>
        <v>so_23509348</v>
      </c>
      <c r="B252">
        <v>0</v>
      </c>
      <c r="C252">
        <v>0</v>
      </c>
      <c r="D252">
        <v>0</v>
      </c>
      <c r="E252">
        <v>8.3333333333333329E-2</v>
      </c>
      <c r="F252">
        <v>0</v>
      </c>
      <c r="G252">
        <v>0.20833333333333329</v>
      </c>
    </row>
    <row r="253" spans="1:7" x14ac:dyDescent="0.15">
      <c r="A253" t="str">
        <f>HYPERLINK("./new_k5/query_cmdrels_weight_analyze/0.1_0.7_0.2/so_24058544.xlsx","so_24058544")</f>
        <v>so_24058544</v>
      </c>
      <c r="B253">
        <v>0.2</v>
      </c>
      <c r="C253">
        <v>0.2</v>
      </c>
      <c r="D253">
        <v>0.2</v>
      </c>
      <c r="E253">
        <v>0.4</v>
      </c>
      <c r="F253">
        <v>0.2</v>
      </c>
      <c r="G253">
        <v>0.4</v>
      </c>
    </row>
    <row r="254" spans="1:7" x14ac:dyDescent="0.15">
      <c r="A254" t="str">
        <f>HYPERLINK("./new_k5/query_cmdrels_weight_analyze/0.1_0.7_0.2/so_24283097.xlsx","so_24283097")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HYPERLINK("./new_k5/query_cmdrels_weight_analyze/0.1_0.7_0.2/so_26256279.xlsx","so_26256279")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HYPERLINK("./new_k5/query_cmdrels_weight_analyze/0.1_0.7_0.2/so_26331651.xlsx","so_26331651")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0.23809523809523811</v>
      </c>
    </row>
    <row r="257" spans="1:7" x14ac:dyDescent="0.15">
      <c r="A257" t="str">
        <f>HYPERLINK("./new_k5/query_cmdrels_weight_analyze/0.1_0.7_0.2/so_26988262.xlsx","so_26988262")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0.46666666666666662</v>
      </c>
    </row>
    <row r="258" spans="1:7" x14ac:dyDescent="0.15">
      <c r="A258" t="str">
        <f>HYPERLINK("./new_k5/query_cmdrels_weight_analyze/0.1_0.7_0.2/so_27238411.xlsx","so_27238411")</f>
        <v>so_27238411</v>
      </c>
      <c r="B258">
        <v>0.2</v>
      </c>
      <c r="C258">
        <v>0.2</v>
      </c>
      <c r="D258">
        <v>0.6</v>
      </c>
      <c r="E258">
        <v>0.33333333333333331</v>
      </c>
      <c r="F258">
        <v>0.6</v>
      </c>
      <c r="G258">
        <v>0.48333333333333328</v>
      </c>
    </row>
    <row r="259" spans="1:7" x14ac:dyDescent="0.15">
      <c r="A259" t="str">
        <f>HYPERLINK("./new_k5/query_cmdrels_weight_analyze/0.1_0.7_0.2/so_27943059.xlsx","so_27943059")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0.55555555555555547</v>
      </c>
      <c r="F259">
        <v>0.16666666666666671</v>
      </c>
      <c r="G259">
        <v>0.55555555555555547</v>
      </c>
    </row>
    <row r="260" spans="1:7" x14ac:dyDescent="0.15">
      <c r="A260" t="str">
        <f>HYPERLINK("./new_k5/query_cmdrels_weight_analyze/0.1_0.7_0.2/so_28869004.xlsx","so_28869004")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HYPERLINK("./new_k5/query_cmdrels_weight_analyze/0.1_0.7_0.2/so_2973624.xlsx","so_2973624")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0.33333333333333331</v>
      </c>
      <c r="F261">
        <v>0.66666666666666663</v>
      </c>
      <c r="G261">
        <v>0.33333333333333331</v>
      </c>
    </row>
    <row r="262" spans="1:7" x14ac:dyDescent="0.15">
      <c r="A262" t="str">
        <f>HYPERLINK("./new_k5/query_cmdrels_weight_analyze/0.1_0.7_0.2/so_30177455.xlsx","so_30177455")</f>
        <v>so_30177455</v>
      </c>
      <c r="B262">
        <v>0</v>
      </c>
      <c r="C262">
        <v>0</v>
      </c>
      <c r="D262">
        <v>0.16666666666666671</v>
      </c>
      <c r="E262">
        <v>0.16666666666666671</v>
      </c>
      <c r="F262">
        <v>0.16666666666666671</v>
      </c>
      <c r="G262">
        <v>0.16666666666666671</v>
      </c>
    </row>
    <row r="263" spans="1:7" x14ac:dyDescent="0.15">
      <c r="A263" t="str">
        <f>HYPERLINK("./new_k5/query_cmdrels_weight_analyze/0.1_0.7_0.2/so_30251889.xlsx","so_30251889")</f>
        <v>so_30251889</v>
      </c>
      <c r="B263">
        <v>0</v>
      </c>
      <c r="C263">
        <v>0.25</v>
      </c>
      <c r="D263">
        <v>0.125</v>
      </c>
      <c r="E263">
        <v>0.41666666666666657</v>
      </c>
      <c r="F263">
        <v>0.22500000000000001</v>
      </c>
      <c r="G263">
        <v>0.41666666666666657</v>
      </c>
    </row>
    <row r="264" spans="1:7" x14ac:dyDescent="0.15">
      <c r="A264" t="str">
        <f>HYPERLINK("./new_k5/query_cmdrels_weight_analyze/0.1_0.7_0.2/so_305035.xlsx","so_305035")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HYPERLINK("./new_k5/query_cmdrels_weight_analyze/0.1_0.7_0.2/so_36249744.xlsx","so_36249744")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HYPERLINK("./new_k5/query_cmdrels_weight_analyze/0.1_0.7_0.2/so_3643848.xlsx","so_3643848")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HYPERLINK("./new_k5/query_cmdrels_weight_analyze/0.1_0.7_0.2/so_3667329.xlsx","so_3667329")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HYPERLINK("./new_k5/query_cmdrels_weight_analyze/0.1_0.7_0.2/so_369758.xlsx","so_369758")</f>
        <v>so_369758</v>
      </c>
      <c r="B268">
        <v>0.2</v>
      </c>
      <c r="C268">
        <v>0.2</v>
      </c>
      <c r="D268">
        <v>0.4</v>
      </c>
      <c r="E268">
        <v>0.4</v>
      </c>
      <c r="F268">
        <v>0.4</v>
      </c>
      <c r="G268">
        <v>0.55000000000000004</v>
      </c>
    </row>
    <row r="269" spans="1:7" x14ac:dyDescent="0.15">
      <c r="A269" t="str">
        <f>HYPERLINK("./new_k5/query_cmdrels_weight_analyze/0.1_0.7_0.2/so_3756323.xlsx","so_3756323")</f>
        <v>so_3756323</v>
      </c>
      <c r="B269">
        <v>0</v>
      </c>
      <c r="C269">
        <v>0.5</v>
      </c>
      <c r="D269">
        <v>0.16666666666666671</v>
      </c>
      <c r="E269">
        <v>0.5</v>
      </c>
      <c r="F269">
        <v>0.16666666666666671</v>
      </c>
      <c r="G269">
        <v>0.75</v>
      </c>
    </row>
    <row r="270" spans="1:7" x14ac:dyDescent="0.15">
      <c r="A270" t="str">
        <f>HYPERLINK("./new_k5/query_cmdrels_weight_analyze/0.1_0.7_0.2/so_3767267.xlsx","so_3767267")</f>
        <v>so_3767267</v>
      </c>
      <c r="B270">
        <v>0</v>
      </c>
      <c r="C270">
        <v>0</v>
      </c>
      <c r="D270">
        <v>6.6666666666666666E-2</v>
      </c>
      <c r="E270">
        <v>0.23333333333333331</v>
      </c>
      <c r="F270">
        <v>6.6666666666666666E-2</v>
      </c>
      <c r="G270">
        <v>0.23333333333333331</v>
      </c>
    </row>
    <row r="271" spans="1:7" x14ac:dyDescent="0.15">
      <c r="A271" t="str">
        <f>HYPERLINK("./new_k5/query_cmdrels_weight_analyze/0.1_0.7_0.2/so_3833578.xlsx","so_3833578")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HYPERLINK("./new_k5/query_cmdrels_weight_analyze/0.1_0.7_0.2/so_3891076.xlsx","so_3891076")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0.375</v>
      </c>
    </row>
    <row r="273" spans="1:7" x14ac:dyDescent="0.15">
      <c r="A273" t="str">
        <f>HYPERLINK("./new_k5/query_cmdrels_weight_analyze/0.1_0.7_0.2/so_3963085.xlsx","so_3963085")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HYPERLINK("./new_k5/query_cmdrels_weight_analyze/0.1_0.7_0.2/so_4325216.xlsx","so_4325216")</f>
        <v>so_4325216</v>
      </c>
      <c r="B274">
        <v>0.5</v>
      </c>
      <c r="C274">
        <v>0.5</v>
      </c>
      <c r="D274">
        <v>0.5</v>
      </c>
      <c r="E274">
        <v>1</v>
      </c>
      <c r="F274">
        <v>0.5</v>
      </c>
      <c r="G274">
        <v>1</v>
      </c>
    </row>
    <row r="275" spans="1:7" x14ac:dyDescent="0.15">
      <c r="A275" t="str">
        <f>HYPERLINK("./new_k5/query_cmdrels_weight_analyze/0.1_0.7_0.2/so_448005.xlsx","so_448005")</f>
        <v>so_448005</v>
      </c>
      <c r="B275">
        <v>1</v>
      </c>
      <c r="C275">
        <v>0</v>
      </c>
      <c r="D275">
        <v>1</v>
      </c>
      <c r="E275">
        <v>0.5</v>
      </c>
      <c r="F275">
        <v>1</v>
      </c>
      <c r="G275">
        <v>0.5</v>
      </c>
    </row>
    <row r="276" spans="1:7" x14ac:dyDescent="0.15">
      <c r="A276" t="str">
        <f>HYPERLINK("./new_k5/query_cmdrels_weight_analyze/0.1_0.7_0.2/so_4921879.xlsx","so_4921879")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HYPERLINK("./new_k5/query_cmdrels_weight_analyze/0.1_0.7_0.2/so_4922943.xlsx","so_4922943")</f>
        <v>so_4922943</v>
      </c>
      <c r="B277">
        <v>0.2</v>
      </c>
      <c r="C277">
        <v>0</v>
      </c>
      <c r="D277">
        <v>0.33333333333333331</v>
      </c>
      <c r="E277">
        <v>0.1</v>
      </c>
      <c r="F277">
        <v>0.33333333333333331</v>
      </c>
      <c r="G277">
        <v>0.18</v>
      </c>
    </row>
    <row r="278" spans="1:7" x14ac:dyDescent="0.15">
      <c r="A278" t="str">
        <f>HYPERLINK("./new_k5/query_cmdrels_weight_analyze/0.1_0.7_0.2/so_5119946.xlsx","so_5119946")</f>
        <v>so_5119946</v>
      </c>
      <c r="B278">
        <v>0.5</v>
      </c>
      <c r="C278">
        <v>0</v>
      </c>
      <c r="D278">
        <v>0.5</v>
      </c>
      <c r="E278">
        <v>0</v>
      </c>
      <c r="F278">
        <v>0.5</v>
      </c>
      <c r="G278">
        <v>0</v>
      </c>
    </row>
    <row r="279" spans="1:7" x14ac:dyDescent="0.15">
      <c r="A279" t="str">
        <f>HYPERLINK("./new_k5/query_cmdrels_weight_analyze/0.1_0.7_0.2/so_5164985.xlsx","so_5164985")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HYPERLINK("./new_k5/query_cmdrels_weight_analyze/0.1_0.7_0.2/so_5306153.xlsx","so_5306153")</f>
        <v>so_5306153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15">
      <c r="A281" t="str">
        <f>HYPERLINK("./new_k5/query_cmdrels_weight_analyze/0.1_0.7_0.2/so_5566310.xlsx","so_5566310")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HYPERLINK("./new_k5/query_cmdrels_weight_analyze/0.1_0.7_0.2/so_5927369.xlsx","so_5927369")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HYPERLINK("./new_k5/query_cmdrels_weight_analyze/0.1_0.7_0.2/so_5947742.xlsx","so_5947742")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0.55555555555555547</v>
      </c>
      <c r="F283">
        <v>0.55555555555555547</v>
      </c>
      <c r="G283">
        <v>0.55555555555555547</v>
      </c>
    </row>
    <row r="284" spans="1:7" x14ac:dyDescent="0.15">
      <c r="A284" t="str">
        <f>HYPERLINK("./new_k5/query_cmdrels_weight_analyze/0.1_0.7_0.2/so_614795.xlsx","so_614795")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HYPERLINK("./new_k5/query_cmdrels_weight_analyze/0.1_0.7_0.2/so_6207573.xlsx","so_6207573")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0.2857142857142857</v>
      </c>
      <c r="F285">
        <v>0.37142857142857139</v>
      </c>
      <c r="G285">
        <v>0.39285714285714279</v>
      </c>
    </row>
    <row r="286" spans="1:7" x14ac:dyDescent="0.15">
      <c r="A286" t="str">
        <f>HYPERLINK("./new_k5/query_cmdrels_weight_analyze/0.1_0.7_0.2/so_6283167.xlsx","so_6283167")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HYPERLINK("./new_k5/query_cmdrels_weight_analyze/0.1_0.7_0.2/so_6329505.xlsx","so_6329505")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HYPERLINK("./new_k5/query_cmdrels_weight_analyze/0.1_0.7_0.2/so_6423532.xlsx","so_6423532")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HYPERLINK("./new_k5/query_cmdrels_weight_analyze/0.1_0.7_0.2/so_669438.xlsx","so_669438")</f>
        <v>so_669438</v>
      </c>
      <c r="B289">
        <v>0.2</v>
      </c>
      <c r="C289">
        <v>0.2</v>
      </c>
      <c r="D289">
        <v>0.6</v>
      </c>
      <c r="E289">
        <v>0.2</v>
      </c>
      <c r="F289">
        <v>0.6</v>
      </c>
      <c r="G289">
        <v>0.2</v>
      </c>
    </row>
    <row r="290" spans="1:7" x14ac:dyDescent="0.15">
      <c r="A290" t="str">
        <f>HYPERLINK("./new_k5/query_cmdrels_weight_analyze/0.1_0.7_0.2/so_7052875.xlsx","so_7052875")</f>
        <v>so_7052875</v>
      </c>
      <c r="B290">
        <v>0.2</v>
      </c>
      <c r="C290">
        <v>0</v>
      </c>
      <c r="D290">
        <v>0.2</v>
      </c>
      <c r="E290">
        <v>6.6666666666666666E-2</v>
      </c>
      <c r="F290">
        <v>0.2</v>
      </c>
      <c r="G290">
        <v>0.28666666666666663</v>
      </c>
    </row>
    <row r="291" spans="1:7" x14ac:dyDescent="0.15">
      <c r="A291" t="str">
        <f>HYPERLINK("./new_k5/query_cmdrels_weight_analyze/0.1_0.7_0.2/so_7221757.xlsx","so_7221757")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HYPERLINK("./new_k5/query_cmdrels_weight_analyze/0.1_0.7_0.2/so_750604.xlsx","so_750604")</f>
        <v>so_750604</v>
      </c>
      <c r="B292">
        <v>0</v>
      </c>
      <c r="C292">
        <v>0</v>
      </c>
      <c r="D292">
        <v>0.1111111111111111</v>
      </c>
      <c r="E292">
        <v>0</v>
      </c>
      <c r="F292">
        <v>0.1111111111111111</v>
      </c>
      <c r="G292">
        <v>0</v>
      </c>
    </row>
    <row r="293" spans="1:7" x14ac:dyDescent="0.15">
      <c r="A293" t="str">
        <f>HYPERLINK("./new_k5/query_cmdrels_weight_analyze/0.1_0.7_0.2/so_7575267.xlsx","so_7575267")</f>
        <v>so_7575267</v>
      </c>
      <c r="B293">
        <v>0</v>
      </c>
      <c r="C293">
        <v>0.25</v>
      </c>
      <c r="D293">
        <v>0</v>
      </c>
      <c r="E293">
        <v>0.5</v>
      </c>
      <c r="F293">
        <v>0</v>
      </c>
      <c r="G293">
        <v>0.6875</v>
      </c>
    </row>
    <row r="294" spans="1:7" x14ac:dyDescent="0.15">
      <c r="A294" t="str">
        <f>HYPERLINK("./new_k5/query_cmdrels_weight_analyze/0.1_0.7_0.2/so_7698488.xlsx","so_7698488")</f>
        <v>so_7698488</v>
      </c>
      <c r="B294">
        <v>0</v>
      </c>
      <c r="C294">
        <v>0</v>
      </c>
      <c r="D294">
        <v>0</v>
      </c>
      <c r="E294">
        <v>8.3333333333333329E-2</v>
      </c>
      <c r="F294">
        <v>0</v>
      </c>
      <c r="G294">
        <v>0.18333333333333329</v>
      </c>
    </row>
    <row r="295" spans="1:7" x14ac:dyDescent="0.15">
      <c r="A295" t="str">
        <f>HYPERLINK("./new_k5/query_cmdrels_weight_analyze/0.1_0.7_0.2/so_801095.xlsx","so_801095")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0.55555555555555547</v>
      </c>
      <c r="F295">
        <v>0.33333333333333331</v>
      </c>
      <c r="G295">
        <v>0.75555555555555554</v>
      </c>
    </row>
    <row r="296" spans="1:7" x14ac:dyDescent="0.15">
      <c r="A296" t="str">
        <f>HYPERLINK("./new_k5/query_cmdrels_weight_analyze/0.1_0.7_0.2/so_8249705.xlsx","so_8249705")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HYPERLINK("./new_k5/query_cmdrels_weight_analyze/0.1_0.7_0.2/so_8423541.xlsx","so_8423541")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HYPERLINK("./new_k5/query_cmdrels_weight_analyze/0.1_0.7_0.2/so_8654051.xlsx","so_8654051")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HYPERLINK("./new_k5/query_cmdrels_weight_analyze/0.1_0.7_0.2/so_890262.xlsx","so_890262")</f>
        <v>so_890262</v>
      </c>
      <c r="B299">
        <v>0</v>
      </c>
      <c r="C299">
        <v>0</v>
      </c>
      <c r="D299">
        <v>0</v>
      </c>
      <c r="E299">
        <v>0.1111111111111111</v>
      </c>
      <c r="F299">
        <v>0</v>
      </c>
      <c r="G299">
        <v>0.27777777777777768</v>
      </c>
    </row>
    <row r="300" spans="1:7" x14ac:dyDescent="0.15">
      <c r="A300" t="str">
        <f>HYPERLINK("./new_k5/query_cmdrels_weight_analyze/0.1_0.7_0.2/so_893585.xlsx","so_893585")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HYPERLINK("./new_k5/query_cmdrels_weight_analyze/0.1_0.7_0.2/so_9223460.xlsx","so_9223460")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HYPERLINK("./new_k5/query_cmdrels_weight_analyze/0.1_0.7_0.2/so_9245638.xlsx","so_9245638")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HYPERLINK("./new_k5/query_cmdrels_weight_analyze/0.1_0.7_0.2/so_9304953.xlsx","so_9304953")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0.8</v>
      </c>
    </row>
    <row r="304" spans="1:7" x14ac:dyDescent="0.15">
      <c r="A304" t="str">
        <f>HYPERLINK("./new_k5/query_cmdrels_weight_analyze/0.1_0.7_0.2/so_9361816.xlsx","so_9361816")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HYPERLINK("./new_k5/query_cmdrels_weight_analyze/0.1_0.7_0.2/su_116617.xlsx","su_116617")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HYPERLINK("./new_k5/query_cmdrels_weight_analyze/0.1_0.7_0.2/su_120045.xlsx","su_120045")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HYPERLINK("./new_k5/query_cmdrels_weight_analyze/0.1_0.7_0.2/su_127863.xlsx","su_127863")</f>
        <v>su_127863</v>
      </c>
      <c r="B307">
        <v>0</v>
      </c>
      <c r="C307">
        <v>0</v>
      </c>
      <c r="D307">
        <v>0.25</v>
      </c>
      <c r="E307">
        <v>0</v>
      </c>
      <c r="F307">
        <v>0.25</v>
      </c>
      <c r="G307">
        <v>0.32500000000000001</v>
      </c>
    </row>
    <row r="308" spans="1:7" x14ac:dyDescent="0.15">
      <c r="A308" t="str">
        <f>HYPERLINK("./new_k5/query_cmdrels_weight_analyze/0.1_0.7_0.2/su_135498.xlsx","su_135498")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HYPERLINK("./new_k5/query_cmdrels_weight_analyze/0.1_0.7_0.2/su_147027.xlsx","su_147027")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HYPERLINK("./new_k5/query_cmdrels_weight_analyze/0.1_0.7_0.2/su_151911.xlsx","su_151911")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0.05</v>
      </c>
    </row>
    <row r="311" spans="1:7" x14ac:dyDescent="0.15">
      <c r="A311" t="str">
        <f>HYPERLINK("./new_k5/query_cmdrels_weight_analyze/0.1_0.7_0.2/su_153415.xlsx","su_153415")</f>
        <v>su_153415</v>
      </c>
      <c r="B311">
        <v>0.5</v>
      </c>
      <c r="C311">
        <v>0.5</v>
      </c>
      <c r="D311">
        <v>0.5</v>
      </c>
      <c r="E311">
        <v>0.5</v>
      </c>
      <c r="F311">
        <v>0.5</v>
      </c>
      <c r="G311">
        <v>0.5</v>
      </c>
    </row>
    <row r="312" spans="1:7" x14ac:dyDescent="0.15">
      <c r="A312" t="str">
        <f>HYPERLINK("./new_k5/query_cmdrels_weight_analyze/0.1_0.7_0.2/su_156189.xlsx","su_156189")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0.27777777777777768</v>
      </c>
    </row>
    <row r="313" spans="1:7" x14ac:dyDescent="0.15">
      <c r="A313" t="str">
        <f>HYPERLINK("./new_k5/query_cmdrels_weight_analyze/0.1_0.7_0.2/su_161531.xlsx","su_161531")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HYPERLINK("./new_k5/query_cmdrels_weight_analyze/0.1_0.7_0.2/su_204209.xlsx","su_204209")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HYPERLINK("./new_k5/query_cmdrels_weight_analyze/0.1_0.7_0.2/su_214390.xlsx","su_214390")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HYPERLINK("./new_k5/query_cmdrels_weight_analyze/0.1_0.7_0.2/su_215483.xlsx","su_215483")</f>
        <v>su_215483</v>
      </c>
      <c r="B316">
        <v>0.5</v>
      </c>
      <c r="C316">
        <v>0.5</v>
      </c>
      <c r="D316">
        <v>1</v>
      </c>
      <c r="E316">
        <v>0.5</v>
      </c>
      <c r="F316">
        <v>1</v>
      </c>
      <c r="G316">
        <v>0.5</v>
      </c>
    </row>
    <row r="317" spans="1:7" x14ac:dyDescent="0.15">
      <c r="A317" t="str">
        <f>HYPERLINK("./new_k5/query_cmdrels_weight_analyze/0.1_0.7_0.2/su_215504.xlsx","su_215504")</f>
        <v>su_215504</v>
      </c>
      <c r="B317">
        <v>0</v>
      </c>
      <c r="C317">
        <v>0</v>
      </c>
      <c r="D317">
        <v>0.29166666666666657</v>
      </c>
      <c r="E317">
        <v>0.29166666666666657</v>
      </c>
      <c r="F317">
        <v>0.44166666666666671</v>
      </c>
      <c r="G317">
        <v>0.44166666666666671</v>
      </c>
    </row>
    <row r="318" spans="1:7" x14ac:dyDescent="0.15">
      <c r="A318" t="str">
        <f>HYPERLINK("./new_k5/query_cmdrels_weight_analyze/0.1_0.7_0.2/su_227385.xlsx","su_227385")</f>
        <v>su_227385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6.25E-2</v>
      </c>
    </row>
    <row r="319" spans="1:7" x14ac:dyDescent="0.15">
      <c r="A319" t="str">
        <f>HYPERLINK("./new_k5/query_cmdrels_weight_analyze/0.1_0.7_0.2/su_273254.xlsx","su_273254")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HYPERLINK("./new_k5/query_cmdrels_weight_analyze/0.1_0.7_0.2/su_294161.xlsx","su_294161")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HYPERLINK("./new_k5/query_cmdrels_weight_analyze/0.1_0.7_0.2/su_302396.xlsx","su_302396")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HYPERLINK("./new_k5/query_cmdrels_weight_analyze/0.1_0.7_0.2/su_303981.xlsx","su_303981")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HYPERLINK("./new_k5/query_cmdrels_weight_analyze/0.1_0.7_0.2/su_305128.xlsx","su_305128")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HYPERLINK("./new_k5/query_cmdrels_weight_analyze/0.1_0.7_0.2/su_31512.xlsx","su_31512")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HYPERLINK("./new_k5/query_cmdrels_weight_analyze/0.1_0.7_0.2/su_380520.xlsx","su_380520")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</v>
      </c>
    </row>
    <row r="326" spans="1:7" x14ac:dyDescent="0.15">
      <c r="A326" t="str">
        <f>HYPERLINK("./new_k5/query_cmdrels_weight_analyze/0.1_0.7_0.2/su_38981.xlsx","su_38981")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0.66666666666666663</v>
      </c>
      <c r="F326">
        <v>0.33333333333333331</v>
      </c>
      <c r="G326">
        <v>0.66666666666666663</v>
      </c>
    </row>
    <row r="327" spans="1:7" x14ac:dyDescent="0.15">
      <c r="A327" t="str">
        <f>HYPERLINK("./new_k5/query_cmdrels_weight_analyze/0.1_0.7_0.2/su_437330.xlsx","su_437330")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HYPERLINK("./new_k5/query_cmdrels_weight_analyze/0.1_0.7_0.2/su_441379.xlsx","su_441379")</f>
        <v>su_441379</v>
      </c>
      <c r="B328">
        <v>0.125</v>
      </c>
      <c r="C328">
        <v>0.125</v>
      </c>
      <c r="D328">
        <v>0.20833333333333329</v>
      </c>
      <c r="E328">
        <v>0.375</v>
      </c>
      <c r="F328">
        <v>0.30208333333333331</v>
      </c>
      <c r="G328">
        <v>0.5</v>
      </c>
    </row>
    <row r="329" spans="1:7" x14ac:dyDescent="0.15">
      <c r="A329" t="str">
        <f>HYPERLINK("./new_k5/query_cmdrels_weight_analyze/0.1_0.7_0.2/su_462788.xlsx","su_462788")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0.22222222222222221</v>
      </c>
      <c r="F329">
        <v>0.30555555555555558</v>
      </c>
      <c r="G329">
        <v>0.30555555555555558</v>
      </c>
    </row>
    <row r="330" spans="1:7" x14ac:dyDescent="0.15">
      <c r="A330" t="str">
        <f>HYPERLINK("./new_k5/query_cmdrels_weight_analyze/0.1_0.7_0.2/su_626606.xlsx","su_626606")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0.33333333333333331</v>
      </c>
      <c r="F330">
        <v>0.83333333333333337</v>
      </c>
      <c r="G330">
        <v>0.45833333333333331</v>
      </c>
    </row>
    <row r="331" spans="1:7" x14ac:dyDescent="0.15">
      <c r="A331" t="str">
        <f>HYPERLINK("./new_k5/query_cmdrels_weight_analyze/0.1_0.7_0.2/su_634469.xlsx","su_634469")</f>
        <v>su_634469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15">
      <c r="A332" t="str">
        <f>HYPERLINK("./new_k5/query_cmdrels_weight_analyze/0.1_0.7_0.2/su_638616.xlsx","su_638616")</f>
        <v>su_638616</v>
      </c>
      <c r="B332">
        <v>0</v>
      </c>
      <c r="C332">
        <v>0.25</v>
      </c>
      <c r="D332">
        <v>0.125</v>
      </c>
      <c r="E332">
        <v>0.5</v>
      </c>
      <c r="F332">
        <v>0.125</v>
      </c>
      <c r="G332">
        <v>0.5</v>
      </c>
    </row>
    <row r="333" spans="1:7" x14ac:dyDescent="0.15">
      <c r="A333" t="str">
        <f>HYPERLINK("./new_k5/query_cmdrels_weight_analyze/0.1_0.7_0.2/su_678113.xlsx","su_678113")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HYPERLINK("./new_k5/query_cmdrels_weight_analyze/0.1_0.7_0.2/su_686394.xlsx","su_686394")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HYPERLINK("./new_k5/query_cmdrels_weight_analyze/0.1_0.7_0.2/su_716795.xlsx","su_716795")</f>
        <v>su_716795</v>
      </c>
      <c r="B335">
        <v>0.5</v>
      </c>
      <c r="C335">
        <v>0</v>
      </c>
      <c r="D335">
        <v>0.83333333333333326</v>
      </c>
      <c r="E335">
        <v>0.16666666666666671</v>
      </c>
      <c r="F335">
        <v>0.83333333333333326</v>
      </c>
      <c r="G335">
        <v>0.16666666666666671</v>
      </c>
    </row>
    <row r="336" spans="1:7" x14ac:dyDescent="0.15">
      <c r="A336" t="str">
        <f>HYPERLINK("./new_k5/query_cmdrels_weight_analyze/0.1_0.7_0.2/su_758463.xlsx","su_758463")</f>
        <v>su_758463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</row>
    <row r="337" spans="1:7" x14ac:dyDescent="0.15">
      <c r="A337" t="str">
        <f>HYPERLINK("./new_k5/query_cmdrels_weight_analyze/0.1_0.7_0.2/su_766437.xlsx","su_766437")</f>
        <v>su_766437</v>
      </c>
      <c r="B337">
        <v>0</v>
      </c>
      <c r="C337">
        <v>0</v>
      </c>
      <c r="D337">
        <v>0</v>
      </c>
      <c r="E337">
        <v>6.6666666666666666E-2</v>
      </c>
      <c r="F337">
        <v>0.05</v>
      </c>
      <c r="G337">
        <v>0.28666666666666663</v>
      </c>
    </row>
    <row r="338" spans="1:7" x14ac:dyDescent="0.15">
      <c r="A338" t="str">
        <f>HYPERLINK("./new_k5/query_cmdrels_weight_analyze/0.1_0.7_0.2/su_904001.xlsx","su_904001")</f>
        <v>su_904001</v>
      </c>
      <c r="B338">
        <v>0.5</v>
      </c>
      <c r="C338">
        <v>0.5</v>
      </c>
      <c r="D338">
        <v>0.5</v>
      </c>
      <c r="E338">
        <v>0.5</v>
      </c>
      <c r="F338">
        <v>0.5</v>
      </c>
      <c r="G338">
        <v>0.5</v>
      </c>
    </row>
    <row r="339" spans="1:7" x14ac:dyDescent="0.15">
      <c r="A339" t="str">
        <f>HYPERLINK("./new_k5/query_cmdrels_weight_analyze/0.1_0.7_0.2/ul_100959.xlsx","ul_100959")</f>
        <v>ul_100959</v>
      </c>
      <c r="B339">
        <v>0</v>
      </c>
      <c r="C339">
        <v>0.5</v>
      </c>
      <c r="D339">
        <v>0.25</v>
      </c>
      <c r="E339">
        <v>0.83333333333333326</v>
      </c>
      <c r="F339">
        <v>0.25</v>
      </c>
      <c r="G339">
        <v>0.83333333333333326</v>
      </c>
    </row>
    <row r="340" spans="1:7" x14ac:dyDescent="0.15">
      <c r="A340" t="str">
        <f>HYPERLINK("./new_k5/query_cmdrels_weight_analyze/0.1_0.7_0.2/ul_101073.xlsx","ul_101073")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0.24444444444444449</v>
      </c>
    </row>
    <row r="341" spans="1:7" x14ac:dyDescent="0.15">
      <c r="A341" t="str">
        <f>HYPERLINK("./new_k5/query_cmdrels_weight_analyze/0.1_0.7_0.2/ul_101237.xlsx","ul_101237")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HYPERLINK("./new_k5/query_cmdrels_weight_analyze/0.1_0.7_0.2/ul_102752.xlsx","ul_102752")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HYPERLINK("./new_k5/query_cmdrels_weight_analyze/0.1_0.7_0.2/ul_108174.xlsx","ul_108174")</f>
        <v>ul_108174</v>
      </c>
      <c r="B343">
        <v>0</v>
      </c>
      <c r="C343">
        <v>0</v>
      </c>
      <c r="D343">
        <v>0.16666666666666671</v>
      </c>
      <c r="E343">
        <v>0</v>
      </c>
      <c r="F343">
        <v>0.16666666666666671</v>
      </c>
      <c r="G343">
        <v>0</v>
      </c>
    </row>
    <row r="344" spans="1:7" x14ac:dyDescent="0.15">
      <c r="A344" t="str">
        <f>HYPERLINK("./new_k5/query_cmdrels_weight_analyze/0.1_0.7_0.2/ul_109536.xlsx","ul_109536")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HYPERLINK("./new_k5/query_cmdrels_weight_analyze/0.1_0.7_0.2/ul_112050.xlsx","ul_112050")</f>
        <v>ul_112050</v>
      </c>
      <c r="B345">
        <v>0</v>
      </c>
      <c r="C345">
        <v>0.25</v>
      </c>
      <c r="D345">
        <v>0.125</v>
      </c>
      <c r="E345">
        <v>0.5</v>
      </c>
      <c r="F345">
        <v>0.125</v>
      </c>
      <c r="G345">
        <v>0.65</v>
      </c>
    </row>
    <row r="346" spans="1:7" x14ac:dyDescent="0.15">
      <c r="A346" t="str">
        <f>HYPERLINK("./new_k5/query_cmdrels_weight_analyze/0.1_0.7_0.2/ul_116070.xlsx","ul_116070")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HYPERLINK("./new_k5/query_cmdrels_weight_analyze/0.1_0.7_0.2/ul_11851.xlsx","ul_11851")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HYPERLINK("./new_k5/query_cmdrels_weight_analyze/0.1_0.7_0.2/ul_119126.xlsx","ul_119126")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HYPERLINK("./new_k5/query_cmdrels_weight_analyze/0.1_0.7_0.2/ul_121718.xlsx","ul_121718")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HYPERLINK("./new_k5/query_cmdrels_weight_analyze/0.1_0.7_0.2/ul_12227.xlsx","ul_12227")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HYPERLINK("./new_k5/query_cmdrels_weight_analyze/0.1_0.7_0.2/ul_12453.xlsx","ul_12453")</f>
        <v>ul_12453</v>
      </c>
      <c r="B351">
        <v>0</v>
      </c>
      <c r="C351">
        <v>0.25</v>
      </c>
      <c r="D351">
        <v>0.125</v>
      </c>
      <c r="E351">
        <v>0.75</v>
      </c>
      <c r="F351">
        <v>0.125</v>
      </c>
      <c r="G351">
        <v>1</v>
      </c>
    </row>
    <row r="352" spans="1:7" x14ac:dyDescent="0.15">
      <c r="A352" t="str">
        <f>HYPERLINK("./new_k5/query_cmdrels_weight_analyze/0.1_0.7_0.2/ul_12535.xlsx","ul_12535")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0.28666666666666663</v>
      </c>
    </row>
    <row r="353" spans="1:7" x14ac:dyDescent="0.15">
      <c r="A353" t="str">
        <f>HYPERLINK("./new_k5/query_cmdrels_weight_analyze/0.1_0.7_0.2/ul_127066.xlsx","ul_127066")</f>
        <v>ul_127066</v>
      </c>
      <c r="B353">
        <v>0.25</v>
      </c>
      <c r="C353">
        <v>0.25</v>
      </c>
      <c r="D353">
        <v>0.25</v>
      </c>
      <c r="E353">
        <v>0.5</v>
      </c>
      <c r="F353">
        <v>0.25</v>
      </c>
      <c r="G353">
        <v>0.5</v>
      </c>
    </row>
    <row r="354" spans="1:7" x14ac:dyDescent="0.15">
      <c r="A354" t="str">
        <f>HYPERLINK("./new_k5/query_cmdrels_weight_analyze/0.1_0.7_0.2/ul_128953.xlsx","ul_128953")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HYPERLINK("./new_k5/query_cmdrels_weight_analyze/0.1_0.7_0.2/ul_134829.xlsx","ul_134829")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0.66666666666666663</v>
      </c>
    </row>
    <row r="356" spans="1:7" x14ac:dyDescent="0.15">
      <c r="A356" t="str">
        <f>HYPERLINK("./new_k5/query_cmdrels_weight_analyze/0.1_0.7_0.2/ul_136371.xlsx","ul_136371")</f>
        <v>ul_136371</v>
      </c>
      <c r="B356">
        <v>0</v>
      </c>
      <c r="C356">
        <v>0</v>
      </c>
      <c r="D356">
        <v>0</v>
      </c>
      <c r="E356">
        <v>0.1111111111111111</v>
      </c>
      <c r="F356">
        <v>0</v>
      </c>
      <c r="G356">
        <v>0.24444444444444449</v>
      </c>
    </row>
    <row r="357" spans="1:7" x14ac:dyDescent="0.15">
      <c r="A357" t="str">
        <f>HYPERLINK("./new_k5/query_cmdrels_weight_analyze/0.1_0.7_0.2/ul_136884.xlsx","ul_136884")</f>
        <v>ul_136884</v>
      </c>
      <c r="B357">
        <v>0</v>
      </c>
      <c r="C357">
        <v>0</v>
      </c>
      <c r="D357">
        <v>0</v>
      </c>
      <c r="E357">
        <v>0.1111111111111111</v>
      </c>
      <c r="F357">
        <v>0</v>
      </c>
      <c r="G357">
        <v>0.1111111111111111</v>
      </c>
    </row>
    <row r="358" spans="1:7" x14ac:dyDescent="0.15">
      <c r="A358" t="str">
        <f>HYPERLINK("./new_k5/query_cmdrels_weight_analyze/0.1_0.7_0.2/ul_138398.xlsx","ul_138398")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HYPERLINK("./new_k5/query_cmdrels_weight_analyze/0.1_0.7_0.2/ul_139271.xlsx","ul_139271")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0.5</v>
      </c>
      <c r="F359">
        <v>0.33333333333333331</v>
      </c>
      <c r="G359">
        <v>0.5</v>
      </c>
    </row>
    <row r="360" spans="1:7" x14ac:dyDescent="0.15">
      <c r="A360" t="str">
        <f>HYPERLINK("./new_k5/query_cmdrels_weight_analyze/0.1_0.7_0.2/ul_140482.xlsx","ul_140482")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HYPERLINK("./new_k5/query_cmdrels_weight_analyze/0.1_0.7_0.2/ul_14191.xlsx","ul_14191")</f>
        <v>ul_14191</v>
      </c>
      <c r="B361">
        <v>0.33333333333333331</v>
      </c>
      <c r="C361">
        <v>0</v>
      </c>
      <c r="D361">
        <v>0.55555555555555547</v>
      </c>
      <c r="E361">
        <v>0</v>
      </c>
      <c r="F361">
        <v>0.55555555555555547</v>
      </c>
      <c r="G361">
        <v>0.2166666666666667</v>
      </c>
    </row>
    <row r="362" spans="1:7" x14ac:dyDescent="0.15">
      <c r="A362" t="str">
        <f>HYPERLINK("./new_k5/query_cmdrels_weight_analyze/0.1_0.7_0.2/ul_145929.xlsx","ul_145929")</f>
        <v>ul_145929</v>
      </c>
      <c r="B362">
        <v>0</v>
      </c>
      <c r="C362">
        <v>0</v>
      </c>
      <c r="D362">
        <v>0.16666666666666671</v>
      </c>
      <c r="E362">
        <v>0.58333333333333326</v>
      </c>
      <c r="F362">
        <v>0.16666666666666671</v>
      </c>
      <c r="G362">
        <v>0.58333333333333326</v>
      </c>
    </row>
    <row r="363" spans="1:7" x14ac:dyDescent="0.15">
      <c r="A363" t="str">
        <f>HYPERLINK("./new_k5/query_cmdrels_weight_analyze/0.1_0.7_0.2/ul_148985.xlsx","ul_148985")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HYPERLINK("./new_k5/query_cmdrels_weight_analyze/0.1_0.7_0.2/ul_15405.xlsx","ul_15405")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HYPERLINK("./new_k5/query_cmdrels_weight_analyze/0.1_0.7_0.2/ul_155551.xlsx","ul_155551")</f>
        <v>ul_155551</v>
      </c>
      <c r="B365">
        <v>0</v>
      </c>
      <c r="C365">
        <v>0.5</v>
      </c>
      <c r="D365">
        <v>0</v>
      </c>
      <c r="E365">
        <v>1</v>
      </c>
      <c r="F365">
        <v>0</v>
      </c>
      <c r="G365">
        <v>1</v>
      </c>
    </row>
    <row r="366" spans="1:7" x14ac:dyDescent="0.15">
      <c r="A366" t="str">
        <f>HYPERLINK("./new_k5/query_cmdrels_weight_analyze/0.1_0.7_0.2/ul_159672.xlsx","ul_159672")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HYPERLINK("./new_k5/query_cmdrels_weight_analyze/0.1_0.7_0.2/ul_163845.xlsx","ul_163845")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0.29166666666666657</v>
      </c>
    </row>
    <row r="368" spans="1:7" x14ac:dyDescent="0.15">
      <c r="A368" t="str">
        <f>HYPERLINK("./new_k5/query_cmdrels_weight_analyze/0.1_0.7_0.2/ul_16407.xlsx","ul_16407")</f>
        <v>ul_16407</v>
      </c>
      <c r="B368">
        <v>0.5</v>
      </c>
      <c r="C368">
        <v>0</v>
      </c>
      <c r="D368">
        <v>0.5</v>
      </c>
      <c r="E368">
        <v>0.25</v>
      </c>
      <c r="F368">
        <v>0.75</v>
      </c>
      <c r="G368">
        <v>0.25</v>
      </c>
    </row>
    <row r="369" spans="1:7" x14ac:dyDescent="0.15">
      <c r="A369" t="str">
        <f>HYPERLINK("./new_k5/query_cmdrels_weight_analyze/0.1_0.7_0.2/ul_166558.xlsx","ul_166558")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HYPERLINK("./new_k5/query_cmdrels_weight_analyze/0.1_0.7_0.2/ul_171314.xlsx","ul_171314")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0.25</v>
      </c>
    </row>
    <row r="371" spans="1:7" x14ac:dyDescent="0.15">
      <c r="A371" t="str">
        <f>HYPERLINK("./new_k5/query_cmdrels_weight_analyze/0.1_0.7_0.2/ul_182032.xlsx","ul_182032")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HYPERLINK("./new_k5/query_cmdrels_weight_analyze/0.1_0.7_0.2/ul_19344.xlsx","ul_19344")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HYPERLINK("./new_k5/query_cmdrels_weight_analyze/0.1_0.7_0.2/ul_19369.xlsx","ul_19369")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HYPERLINK("./new_k5/query_cmdrels_weight_analyze/0.1_0.7_0.2/ul_19485.xlsx","ul_19485")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HYPERLINK("./new_k5/query_cmdrels_weight_analyze/0.1_0.7_0.2/ul_20370.xlsx","ul_20370")</f>
        <v>ul_20370</v>
      </c>
      <c r="B375">
        <v>0</v>
      </c>
      <c r="C375">
        <v>0.5</v>
      </c>
      <c r="D375">
        <v>0</v>
      </c>
      <c r="E375">
        <v>0.5</v>
      </c>
      <c r="F375">
        <v>0</v>
      </c>
      <c r="G375">
        <v>0.5</v>
      </c>
    </row>
    <row r="376" spans="1:7" x14ac:dyDescent="0.15">
      <c r="A376" t="str">
        <f>HYPERLINK("./new_k5/query_cmdrels_weight_analyze/0.1_0.7_0.2/ul_211817.xlsx","ul_211817")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HYPERLINK("./new_k5/query_cmdrels_weight_analyze/0.1_0.7_0.2/ul_212925.xlsx","ul_212925")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HYPERLINK("./new_k5/query_cmdrels_weight_analyze/0.1_0.7_0.2/ul_21471.xlsx","ul_21471")</f>
        <v>ul_21471</v>
      </c>
      <c r="B378">
        <v>0</v>
      </c>
      <c r="C378">
        <v>0</v>
      </c>
      <c r="D378">
        <v>0</v>
      </c>
      <c r="E378">
        <v>0</v>
      </c>
      <c r="F378">
        <v>8.3333333333333329E-2</v>
      </c>
      <c r="G378">
        <v>0</v>
      </c>
    </row>
    <row r="379" spans="1:7" x14ac:dyDescent="0.15">
      <c r="A379" t="str">
        <f>HYPERLINK("./new_k5/query_cmdrels_weight_analyze/0.1_0.7_0.2/ul_22545.xlsx","ul_22545")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HYPERLINK("./new_k5/query_cmdrels_weight_analyze/0.1_0.7_0.2/ul_230481.xlsx","ul_230481")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HYPERLINK("./new_k5/query_cmdrels_weight_analyze/0.1_0.7_0.2/ul_230673.xlsx","ul_230673")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0.45</v>
      </c>
    </row>
    <row r="382" spans="1:7" x14ac:dyDescent="0.15">
      <c r="A382" t="str">
        <f>HYPERLINK("./new_k5/query_cmdrels_weight_analyze/0.1_0.7_0.2/ul_230800.xlsx","ul_230800")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HYPERLINK("./new_k5/query_cmdrels_weight_analyze/0.1_0.7_0.2/ul_232384.xlsx","ul_232384")</f>
        <v>ul_232384</v>
      </c>
      <c r="B383">
        <v>0</v>
      </c>
      <c r="C383">
        <v>0.5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HYPERLINK("./new_k5/query_cmdrels_weight_analyze/0.1_0.7_0.2/ul_24441.xlsx","ul_24441")</f>
        <v>ul_24441</v>
      </c>
      <c r="B384">
        <v>0</v>
      </c>
      <c r="C384">
        <v>0.5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HYPERLINK("./new_k5/query_cmdrels_weight_analyze/0.1_0.7_0.2/ul_246535.xlsx","ul_246535")</f>
        <v>ul_246535</v>
      </c>
      <c r="B385">
        <v>0.2</v>
      </c>
      <c r="C385">
        <v>0</v>
      </c>
      <c r="D385">
        <v>0.2</v>
      </c>
      <c r="E385">
        <v>0.23333333333333331</v>
      </c>
      <c r="F385">
        <v>0.2</v>
      </c>
      <c r="G385">
        <v>0.23333333333333331</v>
      </c>
    </row>
    <row r="386" spans="1:7" x14ac:dyDescent="0.15">
      <c r="A386" t="str">
        <f>HYPERLINK("./new_k5/query_cmdrels_weight_analyze/0.1_0.7_0.2/ul_259791.xlsx","ul_259791")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HYPERLINK("./new_k5/query_cmdrels_weight_analyze/0.1_0.7_0.2/ul_273971.xlsx","ul_273971")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0.33333333333333331</v>
      </c>
      <c r="F387">
        <v>0.43333333333333329</v>
      </c>
      <c r="G387">
        <v>0.43333333333333329</v>
      </c>
    </row>
    <row r="388" spans="1:7" x14ac:dyDescent="0.15">
      <c r="A388" t="str">
        <f>HYPERLINK("./new_k5/query_cmdrels_weight_analyze/0.1_0.7_0.2/ul_28553.xlsx","ul_28553")</f>
        <v>ul_28553</v>
      </c>
      <c r="B388">
        <v>0.25</v>
      </c>
      <c r="C388">
        <v>0.25</v>
      </c>
      <c r="D388">
        <v>0.5</v>
      </c>
      <c r="E388">
        <v>0.25</v>
      </c>
      <c r="F388">
        <v>0.5</v>
      </c>
      <c r="G388">
        <v>0.25</v>
      </c>
    </row>
    <row r="389" spans="1:7" x14ac:dyDescent="0.15">
      <c r="A389" t="str">
        <f>HYPERLINK("./new_k5/query_cmdrels_weight_analyze/0.1_0.7_0.2/ul_288521.xlsx","ul_288521")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HYPERLINK("./new_k5/query_cmdrels_weight_analyze/0.1_0.7_0.2/ul_32290.xlsx","ul_32290")</f>
        <v>ul_32290</v>
      </c>
      <c r="B390">
        <v>0</v>
      </c>
      <c r="C390">
        <v>0</v>
      </c>
      <c r="D390">
        <v>0</v>
      </c>
      <c r="E390">
        <v>8.3333333333333329E-2</v>
      </c>
      <c r="F390">
        <v>0</v>
      </c>
      <c r="G390">
        <v>8.3333333333333329E-2</v>
      </c>
    </row>
    <row r="391" spans="1:7" x14ac:dyDescent="0.15">
      <c r="A391" t="str">
        <f>HYPERLINK("./new_k5/query_cmdrels_weight_analyze/0.1_0.7_0.2/ul_328882.xlsx","ul_328882")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HYPERLINK("./new_k5/query_cmdrels_weight_analyze/0.1_0.7_0.2/ul_35131.xlsx","ul_35131")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0.66666666666666663</v>
      </c>
    </row>
    <row r="393" spans="1:7" x14ac:dyDescent="0.15">
      <c r="A393" t="str">
        <f>HYPERLINK("./new_k5/query_cmdrels_weight_analyze/0.1_0.7_0.2/ul_35333.xlsx","ul_35333")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HYPERLINK("./new_k5/query_cmdrels_weight_analyze/0.1_0.7_0.2/ul_35711.xlsx","ul_35711")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HYPERLINK("./new_k5/query_cmdrels_weight_analyze/0.1_0.7_0.2/ul_3575.xlsx","ul_3575")</f>
        <v>ul_3575</v>
      </c>
      <c r="B395">
        <v>0</v>
      </c>
      <c r="C395">
        <v>0</v>
      </c>
      <c r="D395">
        <v>8.3333333333333329E-2</v>
      </c>
      <c r="E395">
        <v>0</v>
      </c>
      <c r="F395">
        <v>8.3333333333333329E-2</v>
      </c>
      <c r="G395">
        <v>3.3333333333333333E-2</v>
      </c>
    </row>
    <row r="396" spans="1:7" x14ac:dyDescent="0.15">
      <c r="A396" t="str">
        <f>HYPERLINK("./new_k5/query_cmdrels_weight_analyze/0.1_0.7_0.2/ul_35832.xlsx","ul_35832")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HYPERLINK("./new_k5/query_cmdrels_weight_analyze/0.1_0.7_0.2/ul_370318.xlsx","ul_370318")</f>
        <v>ul_370318</v>
      </c>
      <c r="B397">
        <v>0.14285714285714279</v>
      </c>
      <c r="C397">
        <v>0</v>
      </c>
      <c r="D397">
        <v>0.14285714285714279</v>
      </c>
      <c r="E397">
        <v>0</v>
      </c>
      <c r="F397">
        <v>0.14285714285714279</v>
      </c>
      <c r="G397">
        <v>0</v>
      </c>
    </row>
    <row r="398" spans="1:7" x14ac:dyDescent="0.15">
      <c r="A398" t="str">
        <f>HYPERLINK("./new_k5/query_cmdrels_weight_analyze/0.1_0.7_0.2/ul_37329.xlsx","ul_37329")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0.66666666666666663</v>
      </c>
      <c r="F398">
        <v>0.33333333333333331</v>
      </c>
      <c r="G398">
        <v>0.66666666666666663</v>
      </c>
    </row>
    <row r="399" spans="1:7" x14ac:dyDescent="0.15">
      <c r="A399" t="str">
        <f>HYPERLINK("./new_k5/query_cmdrels_weight_analyze/0.1_0.7_0.2/ul_38209.xlsx","ul_38209")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HYPERLINK("./new_k5/query_cmdrels_weight_analyze/0.1_0.7_0.2/ul_41246.xlsx","ul_41246")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HYPERLINK("./new_k5/query_cmdrels_weight_analyze/0.1_0.7_0.2/ul_41362.xlsx","ul_41362")</f>
        <v>ul_41362</v>
      </c>
      <c r="B401">
        <v>0</v>
      </c>
      <c r="C401">
        <v>0</v>
      </c>
      <c r="D401">
        <v>0</v>
      </c>
      <c r="E401">
        <v>8.3333333333333329E-2</v>
      </c>
      <c r="F401">
        <v>0</v>
      </c>
      <c r="G401">
        <v>8.3333333333333329E-2</v>
      </c>
    </row>
    <row r="402" spans="1:7" x14ac:dyDescent="0.15">
      <c r="A402" t="str">
        <f>HYPERLINK("./new_k5/query_cmdrels_weight_analyze/0.1_0.7_0.2/ul_48200.xlsx","ul_48200")</f>
        <v>ul_48200</v>
      </c>
      <c r="B402">
        <v>0</v>
      </c>
      <c r="C402">
        <v>0.5</v>
      </c>
      <c r="D402">
        <v>0</v>
      </c>
      <c r="E402">
        <v>0.5</v>
      </c>
      <c r="F402">
        <v>0</v>
      </c>
      <c r="G402">
        <v>0.5</v>
      </c>
    </row>
    <row r="403" spans="1:7" x14ac:dyDescent="0.15">
      <c r="A403" t="str">
        <f>HYPERLINK("./new_k5/query_cmdrels_weight_analyze/0.1_0.7_0.2/ul_50098.xlsx","ul_50098")</f>
        <v>ul_50098</v>
      </c>
      <c r="B403">
        <v>0</v>
      </c>
      <c r="C403">
        <v>0</v>
      </c>
      <c r="D403">
        <v>0.1166666666666667</v>
      </c>
      <c r="E403">
        <v>0.05</v>
      </c>
      <c r="F403">
        <v>0.1166666666666667</v>
      </c>
      <c r="G403">
        <v>0.09</v>
      </c>
    </row>
    <row r="404" spans="1:7" x14ac:dyDescent="0.15">
      <c r="A404" t="str">
        <f>HYPERLINK("./new_k5/query_cmdrels_weight_analyze/0.1_0.7_0.2/ul_50785.xlsx","ul_50785")</f>
        <v>ul_50785</v>
      </c>
      <c r="B404">
        <v>0.25</v>
      </c>
      <c r="C404">
        <v>0.25</v>
      </c>
      <c r="D404">
        <v>0.25</v>
      </c>
      <c r="E404">
        <v>0.5</v>
      </c>
      <c r="F404">
        <v>0.25</v>
      </c>
      <c r="G404">
        <v>0.5</v>
      </c>
    </row>
    <row r="405" spans="1:7" x14ac:dyDescent="0.15">
      <c r="A405" t="str">
        <f>HYPERLINK("./new_k5/query_cmdrels_weight_analyze/0.1_0.7_0.2/ul_5085.xlsx","ul_5085")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HYPERLINK("./new_k5/query_cmdrels_weight_analyze/0.1_0.7_0.2/ul_53737.xlsx","ul_53737")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HYPERLINK("./new_k5/query_cmdrels_weight_analyze/0.1_0.7_0.2/ul_55125.xlsx","ul_55125")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HYPERLINK("./new_k5/query_cmdrels_weight_analyze/0.1_0.7_0.2/ul_56453.xlsx","ul_56453")</f>
        <v>ul_56453</v>
      </c>
      <c r="B408">
        <v>0</v>
      </c>
      <c r="C408">
        <v>0.25</v>
      </c>
      <c r="D408">
        <v>8.3333333333333329E-2</v>
      </c>
      <c r="E408">
        <v>0.25</v>
      </c>
      <c r="F408">
        <v>8.3333333333333329E-2</v>
      </c>
      <c r="G408">
        <v>0.25</v>
      </c>
    </row>
    <row r="409" spans="1:7" x14ac:dyDescent="0.15">
      <c r="A409" t="str">
        <f>HYPERLINK("./new_k5/query_cmdrels_weight_analyze/0.1_0.7_0.2/ul_63648.xlsx","ul_63648")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HYPERLINK("./new_k5/query_cmdrels_weight_analyze/0.1_0.7_0.2/ul_6402.xlsx","ul_6402")</f>
        <v>ul_6402</v>
      </c>
      <c r="B410">
        <v>0.33333333333333331</v>
      </c>
      <c r="C410">
        <v>0</v>
      </c>
      <c r="D410">
        <v>0.33333333333333331</v>
      </c>
      <c r="E410">
        <v>0.16666666666666671</v>
      </c>
      <c r="F410">
        <v>0.33333333333333331</v>
      </c>
      <c r="G410">
        <v>0.16666666666666671</v>
      </c>
    </row>
    <row r="411" spans="1:7" x14ac:dyDescent="0.15">
      <c r="A411" t="str">
        <f>HYPERLINK("./new_k5/query_cmdrels_weight_analyze/0.1_0.7_0.2/ul_65106.xlsx","ul_65106")</f>
        <v>ul_65106</v>
      </c>
      <c r="B411">
        <v>0.33333333333333331</v>
      </c>
      <c r="C411">
        <v>0.33333333333333331</v>
      </c>
      <c r="D411">
        <v>1</v>
      </c>
      <c r="E411">
        <v>0.33333333333333331</v>
      </c>
      <c r="F411">
        <v>1</v>
      </c>
      <c r="G411">
        <v>0.33333333333333331</v>
      </c>
    </row>
    <row r="412" spans="1:7" x14ac:dyDescent="0.15">
      <c r="A412" t="str">
        <f>HYPERLINK("./new_k5/query_cmdrels_weight_analyze/0.1_0.7_0.2/ul_65932.xlsx","ul_65932")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HYPERLINK("./new_k5/query_cmdrels_weight_analyze/0.1_0.7_0.2/ul_6596.xlsx","ul_6596")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HYPERLINK("./new_k5/query_cmdrels_weight_analyze/0.1_0.7_0.2/ul_67503.xlsx","ul_67503")</f>
        <v>ul_67503</v>
      </c>
      <c r="B414">
        <v>0</v>
      </c>
      <c r="C414">
        <v>0.5</v>
      </c>
      <c r="D414">
        <v>0.25</v>
      </c>
      <c r="E414">
        <v>0.5</v>
      </c>
      <c r="F414">
        <v>0.5</v>
      </c>
      <c r="G414">
        <v>0.75</v>
      </c>
    </row>
    <row r="415" spans="1:7" x14ac:dyDescent="0.15">
      <c r="A415" t="str">
        <f>HYPERLINK("./new_k5/query_cmdrels_weight_analyze/0.1_0.7_0.2/ul_67592.xlsx","ul_67592")</f>
        <v>ul_67592</v>
      </c>
      <c r="B415">
        <v>0.33333333333333331</v>
      </c>
      <c r="C415">
        <v>0</v>
      </c>
      <c r="D415">
        <v>0.33333333333333331</v>
      </c>
      <c r="E415">
        <v>0</v>
      </c>
      <c r="F415">
        <v>0.33333333333333331</v>
      </c>
      <c r="G415">
        <v>8.3333333333333329E-2</v>
      </c>
    </row>
    <row r="416" spans="1:7" x14ac:dyDescent="0.15">
      <c r="A416" t="str">
        <f>HYPERLINK("./new_k5/query_cmdrels_weight_analyze/0.1_0.7_0.2/ul_70581.xlsx","ul_70581")</f>
        <v>ul_70581</v>
      </c>
      <c r="B416">
        <v>0</v>
      </c>
      <c r="C416">
        <v>0.2</v>
      </c>
      <c r="D416">
        <v>0.1</v>
      </c>
      <c r="E416">
        <v>0.6</v>
      </c>
      <c r="F416">
        <v>0.1</v>
      </c>
      <c r="G416">
        <v>0.6</v>
      </c>
    </row>
    <row r="417" spans="1:7" x14ac:dyDescent="0.15">
      <c r="A417" t="str">
        <f>HYPERLINK("./new_k5/query_cmdrels_weight_analyze/0.1_0.7_0.2/ul_70614.xlsx","ul_70614")</f>
        <v>ul_70614</v>
      </c>
      <c r="B417">
        <v>1</v>
      </c>
      <c r="C417">
        <v>0</v>
      </c>
      <c r="D417">
        <v>1</v>
      </c>
      <c r="E417">
        <v>0</v>
      </c>
      <c r="F417">
        <v>1</v>
      </c>
      <c r="G417">
        <v>0.25</v>
      </c>
    </row>
    <row r="418" spans="1:7" x14ac:dyDescent="0.15">
      <c r="A418" t="str">
        <f>HYPERLINK("./new_k5/query_cmdrels_weight_analyze/0.1_0.7_0.2/ul_71465.xlsx","ul_71465")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HYPERLINK("./new_k5/query_cmdrels_weight_analyze/0.1_0.7_0.2/ul_7226.xlsx","ul_7226")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0.33333333333333331</v>
      </c>
      <c r="F419">
        <v>0.33333333333333331</v>
      </c>
      <c r="G419">
        <v>0.5</v>
      </c>
    </row>
    <row r="420" spans="1:7" x14ac:dyDescent="0.15">
      <c r="A420" t="str">
        <f>HYPERLINK("./new_k5/query_cmdrels_weight_analyze/0.1_0.7_0.2/ul_78182.xlsx","ul_78182")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</v>
      </c>
    </row>
    <row r="421" spans="1:7" x14ac:dyDescent="0.15">
      <c r="A421" t="str">
        <f>HYPERLINK("./new_k5/query_cmdrels_weight_analyze/0.1_0.7_0.2/ul_79678.xlsx","ul_79678")</f>
        <v>ul_79678</v>
      </c>
      <c r="B421">
        <v>0</v>
      </c>
      <c r="C421">
        <v>0</v>
      </c>
      <c r="D421">
        <v>0.25</v>
      </c>
      <c r="E421">
        <v>0.16666666666666671</v>
      </c>
      <c r="F421">
        <v>0.25</v>
      </c>
      <c r="G421">
        <v>0.16666666666666671</v>
      </c>
    </row>
    <row r="422" spans="1:7" x14ac:dyDescent="0.15">
      <c r="A422" t="str">
        <f>HYPERLINK("./new_k5/query_cmdrels_weight_analyze/0.1_0.7_0.2/ul_79702.xlsx","ul_79702")</f>
        <v>ul_79702</v>
      </c>
      <c r="B422">
        <v>0</v>
      </c>
      <c r="C422">
        <v>0.33333333333333331</v>
      </c>
      <c r="D422">
        <v>0</v>
      </c>
      <c r="E422">
        <v>0.55555555555555547</v>
      </c>
      <c r="F422">
        <v>0</v>
      </c>
      <c r="G422">
        <v>0.75555555555555554</v>
      </c>
    </row>
    <row r="423" spans="1:7" x14ac:dyDescent="0.15">
      <c r="A423" t="str">
        <f>HYPERLINK("./new_k5/query_cmdrels_weight_analyze/0.1_0.7_0.2/ul_83593.xlsx","ul_83593")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HYPERLINK("./new_k5/query_cmdrels_weight_analyze/0.1_0.7_0.2/ul_84381.xlsx","ul_84381")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HYPERLINK("./new_k5/query_cmdrels_weight_analyze/0.1_0.7_0.2/ul_85180.xlsx","ul_85180")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0.27777777777777768</v>
      </c>
    </row>
    <row r="426" spans="1:7" x14ac:dyDescent="0.15">
      <c r="A426" t="str">
        <f>HYPERLINK("./new_k5/query_cmdrels_weight_analyze/0.1_0.7_0.2/ul_86071.xlsx","ul_86071")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HYPERLINK("./new_k5/query_cmdrels_weight_analyze/0.1_0.7_0.2/ul_86729.xlsx","ul_86729")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HYPERLINK("./new_k5/query_cmdrels_weight_analyze/0.1_0.7_0.2/ul_88824.xlsx","ul_88824")</f>
        <v>ul_88824</v>
      </c>
      <c r="B428">
        <v>0</v>
      </c>
      <c r="C428">
        <v>0.33333333333333331</v>
      </c>
      <c r="D428">
        <v>0</v>
      </c>
      <c r="E428">
        <v>0.55555555555555547</v>
      </c>
      <c r="F428">
        <v>0</v>
      </c>
      <c r="G428">
        <v>0.55555555555555547</v>
      </c>
    </row>
    <row r="429" spans="1:7" x14ac:dyDescent="0.15">
      <c r="A429" t="str">
        <f>HYPERLINK("./new_k5/query_cmdrels_weight_analyze/0.1_0.7_0.2/ul_8945.xlsx","ul_8945")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HYPERLINK("./new_k5/query_cmdrels_weight_analyze/0.1_0.7_0.2/ul_89933.xlsx","ul_89933")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HYPERLINK("./new_k5/query_cmdrels_weight_analyze/0.1_0.7_0.2/ul_91297.xlsx","ul_91297")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HYPERLINK("./new_k5/query_cmdrels_weight_analyze/0.1_0.7_0.2/ul_9252.xlsx","ul_9252")</f>
        <v>ul_9252</v>
      </c>
      <c r="B432">
        <v>0</v>
      </c>
      <c r="C432">
        <v>0</v>
      </c>
      <c r="D432">
        <v>0.23333333333333331</v>
      </c>
      <c r="E432">
        <v>6.6666666666666666E-2</v>
      </c>
      <c r="F432">
        <v>0.23333333333333331</v>
      </c>
      <c r="G432">
        <v>0.1466666666666667</v>
      </c>
    </row>
    <row r="433" spans="1:7" x14ac:dyDescent="0.15">
      <c r="A433" t="str">
        <f>HYPERLINK("./new_k5/query_cmdrels_weight_analyze/0.1_0.7_0.2/ul_92560.xlsx","ul_92560")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0.5</v>
      </c>
    </row>
    <row r="434" spans="1:7" x14ac:dyDescent="0.15">
      <c r="A434" t="str">
        <f>HYPERLINK("./new_k5/query_cmdrels_weight_analyze/0.1_0.7_0.2/ul_92799.xlsx","ul_92799")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0.5</v>
      </c>
      <c r="F434">
        <v>0.53611111111111109</v>
      </c>
      <c r="G434">
        <v>0.66666666666666663</v>
      </c>
    </row>
    <row r="435" spans="1:7" x14ac:dyDescent="0.15">
      <c r="A435" t="str">
        <f>HYPERLINK("./new_k5/query_cmdrels_weight_analyze/0.1_0.7_0.2/ul_93139.xlsx","ul_93139")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HYPERLINK("./new_k5/query_cmdrels_weight_analyze/0.1_0.7_0.2/ul_98461.xlsx","ul_98461")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36"/>
  <sheetViews>
    <sheetView workbookViewId="0"/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</row>
    <row r="3" spans="1:7" x14ac:dyDescent="0.15">
      <c r="A3" t="str">
        <f>HYPERLINK("./new_k5/query_cmdrels_weight_analyze/0.1_0.8_0.1/au_102733.xlsx","au_102733")</f>
        <v>au_102733</v>
      </c>
      <c r="B3">
        <v>0.25</v>
      </c>
      <c r="C3">
        <v>0</v>
      </c>
      <c r="D3">
        <v>0.5</v>
      </c>
      <c r="E3">
        <v>0.125</v>
      </c>
      <c r="F3">
        <v>0.5</v>
      </c>
      <c r="G3">
        <v>0.125</v>
      </c>
    </row>
    <row r="4" spans="1:7" x14ac:dyDescent="0.15">
      <c r="A4" t="str">
        <f>HYPERLINK("./new_k5/query_cmdrels_weight_analyze/0.1_0.8_0.1/au_1029436.xlsx","au_1029436")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 t="str">
        <f>HYPERLINK("./new_k5/query_cmdrels_weight_analyze/0.1_0.8_0.1/au_1029502.xlsx","au_1029502")</f>
        <v>au_1029502</v>
      </c>
      <c r="B5">
        <v>0.25</v>
      </c>
      <c r="C5">
        <v>0.25</v>
      </c>
      <c r="D5">
        <v>0.25</v>
      </c>
      <c r="E5">
        <v>0.25</v>
      </c>
      <c r="F5">
        <v>0.375</v>
      </c>
      <c r="G5">
        <v>0.25</v>
      </c>
    </row>
    <row r="6" spans="1:7" x14ac:dyDescent="0.15">
      <c r="A6" t="str">
        <f>HYPERLINK("./new_k5/query_cmdrels_weight_analyze/0.1_0.8_0.1/au_1029531.xlsx","au_1029531")</f>
        <v>au_1029531</v>
      </c>
      <c r="B6">
        <v>0.33333333333333331</v>
      </c>
      <c r="C6">
        <v>0</v>
      </c>
      <c r="D6">
        <v>0.33333333333333331</v>
      </c>
      <c r="E6">
        <v>0</v>
      </c>
      <c r="F6">
        <v>0.46666666666666662</v>
      </c>
      <c r="G6">
        <v>0</v>
      </c>
    </row>
    <row r="7" spans="1:7" x14ac:dyDescent="0.15">
      <c r="A7" t="str">
        <f>HYPERLINK("./new_k5/query_cmdrels_weight_analyze/0.1_0.8_0.1/au_104542.xlsx","au_104542")</f>
        <v>au_104542</v>
      </c>
      <c r="B7">
        <v>0.125</v>
      </c>
      <c r="C7">
        <v>0.125</v>
      </c>
      <c r="D7">
        <v>0.25</v>
      </c>
      <c r="E7">
        <v>0.20833333333333329</v>
      </c>
      <c r="F7">
        <v>0.25</v>
      </c>
      <c r="G7">
        <v>0.30208333333333331</v>
      </c>
    </row>
    <row r="8" spans="1:7" x14ac:dyDescent="0.15">
      <c r="A8" t="str">
        <f>HYPERLINK("./new_k5/query_cmdrels_weight_analyze/0.1_0.8_0.1/au_109070.xlsx","au_109070")</f>
        <v>au_109070</v>
      </c>
      <c r="B8">
        <v>0</v>
      </c>
      <c r="C8">
        <v>0</v>
      </c>
      <c r="D8">
        <v>0.23333333333333331</v>
      </c>
      <c r="E8">
        <v>0</v>
      </c>
      <c r="F8">
        <v>0.3833333333333333</v>
      </c>
      <c r="G8">
        <v>0.04</v>
      </c>
    </row>
    <row r="9" spans="1:7" x14ac:dyDescent="0.15">
      <c r="A9" t="str">
        <f>HYPERLINK("./new_k5/query_cmdrels_weight_analyze/0.1_0.8_0.1/au_109381.xlsx","au_109381")</f>
        <v>au_109381</v>
      </c>
      <c r="B9">
        <v>0</v>
      </c>
      <c r="C9">
        <v>0.5</v>
      </c>
      <c r="D9">
        <v>0.25</v>
      </c>
      <c r="E9">
        <v>0.83333333333333326</v>
      </c>
      <c r="F9">
        <v>0.25</v>
      </c>
      <c r="G9">
        <v>0.83333333333333326</v>
      </c>
    </row>
    <row r="10" spans="1:7" x14ac:dyDescent="0.15">
      <c r="A10" t="str">
        <f>HYPERLINK("./new_k5/query_cmdrels_weight_analyze/0.1_0.8_0.1/au_110477.xlsx","au_110477")</f>
        <v>au_110477</v>
      </c>
      <c r="B10">
        <v>0.25</v>
      </c>
      <c r="C10">
        <v>0.25</v>
      </c>
      <c r="D10">
        <v>0.5</v>
      </c>
      <c r="E10">
        <v>0.41666666666666657</v>
      </c>
      <c r="F10">
        <v>0.5</v>
      </c>
      <c r="G10">
        <v>0.60416666666666663</v>
      </c>
    </row>
    <row r="11" spans="1:7" x14ac:dyDescent="0.15">
      <c r="A11" t="str">
        <f>HYPERLINK("./new_k5/query_cmdrels_weight_analyze/0.1_0.8_0.1/au_111678.xlsx","au_111678")</f>
        <v>au_111678</v>
      </c>
      <c r="B11">
        <v>0</v>
      </c>
      <c r="C11">
        <v>0</v>
      </c>
      <c r="D11">
        <v>0.1111111111111111</v>
      </c>
      <c r="E11">
        <v>0.1111111111111111</v>
      </c>
      <c r="F11">
        <v>0.1111111111111111</v>
      </c>
      <c r="G11">
        <v>0.1111111111111111</v>
      </c>
    </row>
    <row r="12" spans="1:7" x14ac:dyDescent="0.15">
      <c r="A12" t="str">
        <f>HYPERLINK("./new_k5/query_cmdrels_weight_analyze/0.1_0.8_0.1/au_112512.xlsx","au_112512")</f>
        <v>au_112512</v>
      </c>
      <c r="B12">
        <v>0.25</v>
      </c>
      <c r="C12">
        <v>0.25</v>
      </c>
      <c r="D12">
        <v>0.25</v>
      </c>
      <c r="E12">
        <v>0.5</v>
      </c>
      <c r="F12">
        <v>0.375</v>
      </c>
      <c r="G12">
        <v>0.5</v>
      </c>
    </row>
    <row r="13" spans="1:7" x14ac:dyDescent="0.15">
      <c r="A13" t="str">
        <f>HYPERLINK("./new_k5/query_cmdrels_weight_analyze/0.1_0.8_0.1/au_115369.xlsx","au_115369")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 t="str">
        <f>HYPERLINK("./new_k5/query_cmdrels_weight_analyze/0.1_0.8_0.1/au_11789.xlsx","au_11789")</f>
        <v>au_11789</v>
      </c>
      <c r="B14">
        <v>0</v>
      </c>
      <c r="C14">
        <v>0.5</v>
      </c>
      <c r="D14">
        <v>0</v>
      </c>
      <c r="E14">
        <v>0.5</v>
      </c>
      <c r="F14">
        <v>0</v>
      </c>
      <c r="G14">
        <v>0.5</v>
      </c>
    </row>
    <row r="15" spans="1:7" x14ac:dyDescent="0.15">
      <c r="A15" t="str">
        <f>HYPERLINK("./new_k5/query_cmdrels_weight_analyze/0.1_0.8_0.1/au_117950.xlsx","au_117950")</f>
        <v>au_117950</v>
      </c>
      <c r="B15">
        <v>0</v>
      </c>
      <c r="C15">
        <v>0</v>
      </c>
      <c r="D15">
        <v>0.16666666666666671</v>
      </c>
      <c r="E15">
        <v>0.16666666666666671</v>
      </c>
      <c r="F15">
        <v>0.16666666666666671</v>
      </c>
      <c r="G15">
        <v>0.16666666666666671</v>
      </c>
    </row>
    <row r="16" spans="1:7" x14ac:dyDescent="0.15">
      <c r="A16" t="str">
        <f>HYPERLINK("./new_k5/query_cmdrels_weight_analyze/0.1_0.8_0.1/au_122113.xlsx","au_122113")</f>
        <v>au_122113</v>
      </c>
      <c r="B16">
        <v>0.25</v>
      </c>
      <c r="C16">
        <v>0</v>
      </c>
      <c r="D16">
        <v>0.25</v>
      </c>
      <c r="E16">
        <v>0.125</v>
      </c>
      <c r="F16">
        <v>0.25</v>
      </c>
      <c r="G16">
        <v>0.25</v>
      </c>
    </row>
    <row r="17" spans="1:7" x14ac:dyDescent="0.15">
      <c r="A17" t="str">
        <f>HYPERLINK("./new_k5/query_cmdrels_weight_analyze/0.1_0.8_0.1/au_123798.xlsx","au_123798")</f>
        <v>au_123798</v>
      </c>
      <c r="B17">
        <v>0</v>
      </c>
      <c r="C17">
        <v>0</v>
      </c>
      <c r="D17">
        <v>5.5555555555555552E-2</v>
      </c>
      <c r="E17">
        <v>8.3333333333333329E-2</v>
      </c>
      <c r="F17">
        <v>0.23888888888888879</v>
      </c>
      <c r="G17">
        <v>0.26666666666666672</v>
      </c>
    </row>
    <row r="18" spans="1:7" x14ac:dyDescent="0.15">
      <c r="A18" t="str">
        <f>HYPERLINK("./new_k5/query_cmdrels_weight_analyze/0.1_0.8_0.1/au_125257.xlsx","au_125257")</f>
        <v>au_125257</v>
      </c>
      <c r="B18">
        <v>0.25</v>
      </c>
      <c r="C18">
        <v>0.25</v>
      </c>
      <c r="D18">
        <v>0.41666666666666657</v>
      </c>
      <c r="E18">
        <v>0.25</v>
      </c>
      <c r="F18">
        <v>0.56666666666666665</v>
      </c>
      <c r="G18">
        <v>0.375</v>
      </c>
    </row>
    <row r="19" spans="1:7" x14ac:dyDescent="0.15">
      <c r="A19" t="str">
        <f>HYPERLINK("./new_k5/query_cmdrels_weight_analyze/0.1_0.8_0.1/au_126153.xlsx","au_126153")</f>
        <v>au_126153</v>
      </c>
      <c r="B19">
        <v>0.16666666666666671</v>
      </c>
      <c r="C19">
        <v>0.16666666666666671</v>
      </c>
      <c r="D19">
        <v>0.33333333333333331</v>
      </c>
      <c r="E19">
        <v>0.27777777777777768</v>
      </c>
      <c r="F19">
        <v>0.45833333333333331</v>
      </c>
      <c r="G19">
        <v>0.27777777777777768</v>
      </c>
    </row>
    <row r="20" spans="1:7" x14ac:dyDescent="0.15">
      <c r="A20" t="str">
        <f>HYPERLINK("./new_k5/query_cmdrels_weight_analyze/0.1_0.8_0.1/au_127326.xlsx","au_127326")</f>
        <v>au_127326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</row>
    <row r="21" spans="1:7" x14ac:dyDescent="0.15">
      <c r="A21" t="str">
        <f>HYPERLINK("./new_k5/query_cmdrels_weight_analyze/0.1_0.8_0.1/au_128463.xlsx","au_128463")</f>
        <v>au_128463</v>
      </c>
      <c r="B21">
        <v>0.33333333333333331</v>
      </c>
      <c r="C21">
        <v>0.33333333333333331</v>
      </c>
      <c r="D21">
        <v>1</v>
      </c>
      <c r="E21">
        <v>0.66666666666666663</v>
      </c>
      <c r="F21">
        <v>1</v>
      </c>
      <c r="G21">
        <v>0.66666666666666663</v>
      </c>
    </row>
    <row r="22" spans="1:7" x14ac:dyDescent="0.15">
      <c r="A22" t="str">
        <f>HYPERLINK("./new_k5/query_cmdrels_weight_analyze/0.1_0.8_0.1/au_130393.xlsx","au_130393")</f>
        <v>au_130393</v>
      </c>
      <c r="B22">
        <v>0</v>
      </c>
      <c r="C22">
        <v>0.25</v>
      </c>
      <c r="D22">
        <v>0.125</v>
      </c>
      <c r="E22">
        <v>0.25</v>
      </c>
      <c r="F22">
        <v>0.125</v>
      </c>
      <c r="G22">
        <v>0.35</v>
      </c>
    </row>
    <row r="23" spans="1:7" x14ac:dyDescent="0.15">
      <c r="A23" t="str">
        <f>HYPERLINK("./new_k5/query_cmdrels_weight_analyze/0.1_0.8_0.1/au_131570.xlsx","au_131570")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 t="str">
        <f>HYPERLINK("./new_k5/query_cmdrels_weight_analyze/0.1_0.8_0.1/au_133318.xlsx","au_133318")</f>
        <v>au_133318</v>
      </c>
      <c r="B24">
        <v>0</v>
      </c>
      <c r="C24">
        <v>0.25</v>
      </c>
      <c r="D24">
        <v>0</v>
      </c>
      <c r="E24">
        <v>0.41666666666666657</v>
      </c>
      <c r="F24">
        <v>0</v>
      </c>
      <c r="G24">
        <v>0.41666666666666657</v>
      </c>
    </row>
    <row r="25" spans="1:7" x14ac:dyDescent="0.15">
      <c r="A25" t="str">
        <f>HYPERLINK("./new_k5/query_cmdrels_weight_analyze/0.1_0.8_0.1/au_133343.xlsx","au_133343")</f>
        <v>au_133343</v>
      </c>
      <c r="B25">
        <v>0</v>
      </c>
      <c r="C25">
        <v>0</v>
      </c>
      <c r="D25">
        <v>0</v>
      </c>
      <c r="E25">
        <v>0</v>
      </c>
      <c r="F25">
        <v>0</v>
      </c>
      <c r="G25">
        <v>8.3333333333333329E-2</v>
      </c>
    </row>
    <row r="26" spans="1:7" x14ac:dyDescent="0.15">
      <c r="A26" t="str">
        <f>HYPERLINK("./new_k5/query_cmdrels_weight_analyze/0.1_0.8_0.1/au_133389.xlsx","au_133389")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 t="str">
        <f>HYPERLINK("./new_k5/query_cmdrels_weight_analyze/0.1_0.8_0.1/au_141277.xlsx","au_141277")</f>
        <v>au_141277</v>
      </c>
      <c r="B27">
        <v>0.16666666666666671</v>
      </c>
      <c r="C27">
        <v>0.16666666666666671</v>
      </c>
      <c r="D27">
        <v>0.16666666666666671</v>
      </c>
      <c r="E27">
        <v>0.16666666666666671</v>
      </c>
      <c r="F27">
        <v>0.16666666666666671</v>
      </c>
      <c r="G27">
        <v>0.16666666666666671</v>
      </c>
    </row>
    <row r="28" spans="1:7" x14ac:dyDescent="0.15">
      <c r="A28" t="str">
        <f>HYPERLINK("./new_k5/query_cmdrels_weight_analyze/0.1_0.8_0.1/au_143819.xlsx","au_143819")</f>
        <v>au_143819</v>
      </c>
      <c r="B28">
        <v>0.14285714285714279</v>
      </c>
      <c r="C28">
        <v>0.14285714285714279</v>
      </c>
      <c r="D28">
        <v>0.2857142857142857</v>
      </c>
      <c r="E28">
        <v>0.23809523809523811</v>
      </c>
      <c r="F28">
        <v>0.37142857142857139</v>
      </c>
      <c r="G28">
        <v>0.32380952380952382</v>
      </c>
    </row>
    <row r="29" spans="1:7" x14ac:dyDescent="0.15">
      <c r="A29" t="str">
        <f>HYPERLINK("./new_k5/query_cmdrels_weight_analyze/0.1_0.8_0.1/au_145935.xlsx","au_145935")</f>
        <v>au_145935</v>
      </c>
      <c r="B29">
        <v>0.33333333333333331</v>
      </c>
      <c r="C29">
        <v>0.33333333333333331</v>
      </c>
      <c r="D29">
        <v>0.55555555555555547</v>
      </c>
      <c r="E29">
        <v>0.55555555555555547</v>
      </c>
      <c r="F29">
        <v>0.55555555555555547</v>
      </c>
      <c r="G29">
        <v>0.55555555555555547</v>
      </c>
    </row>
    <row r="30" spans="1:7" x14ac:dyDescent="0.15">
      <c r="A30" t="str">
        <f>HYPERLINK("./new_k5/query_cmdrels_weight_analyze/0.1_0.8_0.1/au_147241.xlsx","au_147241")</f>
        <v>au_147241</v>
      </c>
      <c r="B30">
        <v>0</v>
      </c>
      <c r="C30">
        <v>0</v>
      </c>
      <c r="D30">
        <v>0.29166666666666657</v>
      </c>
      <c r="E30">
        <v>8.3333333333333329E-2</v>
      </c>
      <c r="F30">
        <v>0.29166666666666657</v>
      </c>
      <c r="G30">
        <v>0.18333333333333329</v>
      </c>
    </row>
    <row r="31" spans="1:7" x14ac:dyDescent="0.15">
      <c r="A31" t="str">
        <f>HYPERLINK("./new_k5/query_cmdrels_weight_analyze/0.1_0.8_0.1/au_147800.xlsx","au_147800")</f>
        <v>au_147800</v>
      </c>
      <c r="B31">
        <v>0</v>
      </c>
      <c r="C31">
        <v>0</v>
      </c>
      <c r="D31">
        <v>0.1111111111111111</v>
      </c>
      <c r="E31">
        <v>0.1111111111111111</v>
      </c>
      <c r="F31">
        <v>0.1111111111111111</v>
      </c>
      <c r="G31">
        <v>0.1111111111111111</v>
      </c>
    </row>
    <row r="32" spans="1:7" x14ac:dyDescent="0.15">
      <c r="A32" t="str">
        <f>HYPERLINK("./new_k5/query_cmdrels_weight_analyze/0.1_0.8_0.1/au_148321.xlsx","au_148321")</f>
        <v>au_148321</v>
      </c>
      <c r="B32">
        <v>0.16666666666666671</v>
      </c>
      <c r="C32">
        <v>0.16666666666666671</v>
      </c>
      <c r="D32">
        <v>0.16666666666666671</v>
      </c>
      <c r="E32">
        <v>0.33333333333333331</v>
      </c>
      <c r="F32">
        <v>0.16666666666666671</v>
      </c>
      <c r="G32">
        <v>0.33333333333333331</v>
      </c>
    </row>
    <row r="33" spans="1:7" x14ac:dyDescent="0.15">
      <c r="A33" t="str">
        <f>HYPERLINK("./new_k5/query_cmdrels_weight_analyze/0.1_0.8_0.1/au_148638.xlsx","au_148638")</f>
        <v>au_148638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</row>
    <row r="34" spans="1:7" x14ac:dyDescent="0.15">
      <c r="A34" t="str">
        <f>HYPERLINK("./new_k5/query_cmdrels_weight_analyze/0.1_0.8_0.1/au_151049.xlsx","au_151049")</f>
        <v>au_151049</v>
      </c>
      <c r="B34">
        <v>0.33333333333333331</v>
      </c>
      <c r="C34">
        <v>0.33333333333333331</v>
      </c>
      <c r="D34">
        <v>0.66666666666666663</v>
      </c>
      <c r="E34">
        <v>0.66666666666666663</v>
      </c>
      <c r="F34">
        <v>0.66666666666666663</v>
      </c>
      <c r="G34">
        <v>0.66666666666666663</v>
      </c>
    </row>
    <row r="35" spans="1:7" x14ac:dyDescent="0.15">
      <c r="A35" t="str">
        <f>HYPERLINK("./new_k5/query_cmdrels_weight_analyze/0.1_0.8_0.1/au_151941.xlsx","au_151941")</f>
        <v>au_151941</v>
      </c>
      <c r="B35">
        <v>0.125</v>
      </c>
      <c r="C35">
        <v>0.125</v>
      </c>
      <c r="D35">
        <v>0.375</v>
      </c>
      <c r="E35">
        <v>0.375</v>
      </c>
      <c r="F35">
        <v>0.5</v>
      </c>
      <c r="G35">
        <v>0.625</v>
      </c>
    </row>
    <row r="36" spans="1:7" x14ac:dyDescent="0.15">
      <c r="A36" t="str">
        <f>HYPERLINK("./new_k5/query_cmdrels_weight_analyze/0.1_0.8_0.1/au_152297.xlsx","au_152297")</f>
        <v>au_152297</v>
      </c>
      <c r="B36">
        <v>0</v>
      </c>
      <c r="C36">
        <v>0</v>
      </c>
      <c r="D36">
        <v>7.1428571428571425E-2</v>
      </c>
      <c r="E36">
        <v>0.16666666666666671</v>
      </c>
      <c r="F36">
        <v>7.1428571428571425E-2</v>
      </c>
      <c r="G36">
        <v>0.16666666666666671</v>
      </c>
    </row>
    <row r="37" spans="1:7" x14ac:dyDescent="0.15">
      <c r="A37" t="str">
        <f>HYPERLINK("./new_k5/query_cmdrels_weight_analyze/0.1_0.8_0.1/au_153976.xlsx","au_153976")</f>
        <v>au_153976</v>
      </c>
      <c r="B37">
        <v>0.16666666666666671</v>
      </c>
      <c r="C37">
        <v>0.16666666666666671</v>
      </c>
      <c r="D37">
        <v>0.33333333333333331</v>
      </c>
      <c r="E37">
        <v>0.27777777777777768</v>
      </c>
      <c r="F37">
        <v>0.33333333333333331</v>
      </c>
      <c r="G37">
        <v>0.37777777777777782</v>
      </c>
    </row>
    <row r="38" spans="1:7" x14ac:dyDescent="0.15">
      <c r="A38" t="str">
        <f>HYPERLINK("./new_k5/query_cmdrels_weight_analyze/0.1_0.8_0.1/au_154431.xlsx","au_154431")</f>
        <v>au_154431</v>
      </c>
      <c r="B38">
        <v>0</v>
      </c>
      <c r="C38">
        <v>0.33333333333333331</v>
      </c>
      <c r="D38">
        <v>0</v>
      </c>
      <c r="E38">
        <v>0.66666666666666663</v>
      </c>
      <c r="F38">
        <v>0</v>
      </c>
      <c r="G38">
        <v>0.66666666666666663</v>
      </c>
    </row>
    <row r="39" spans="1:7" x14ac:dyDescent="0.15">
      <c r="A39" t="str">
        <f>HYPERLINK("./new_k5/query_cmdrels_weight_analyze/0.1_0.8_0.1/au_159708.xlsx","au_159708")</f>
        <v>au_159708</v>
      </c>
      <c r="B39">
        <v>0.33333333333333331</v>
      </c>
      <c r="C39">
        <v>0.33333333333333331</v>
      </c>
      <c r="D39">
        <v>0.33333333333333331</v>
      </c>
      <c r="E39">
        <v>0.55555555555555547</v>
      </c>
      <c r="F39">
        <v>0.33333333333333331</v>
      </c>
      <c r="G39">
        <v>0.55555555555555547</v>
      </c>
    </row>
    <row r="40" spans="1:7" x14ac:dyDescent="0.15">
      <c r="A40" t="str">
        <f>HYPERLINK("./new_k5/query_cmdrels_weight_analyze/0.1_0.8_0.1/au_160869.xlsx","au_160869")</f>
        <v>au_160869</v>
      </c>
      <c r="B40">
        <v>0.25</v>
      </c>
      <c r="C40">
        <v>0.25</v>
      </c>
      <c r="D40">
        <v>0.25</v>
      </c>
      <c r="E40">
        <v>0.25</v>
      </c>
      <c r="F40">
        <v>0.25</v>
      </c>
      <c r="G40">
        <v>0.25</v>
      </c>
    </row>
    <row r="41" spans="1:7" x14ac:dyDescent="0.15">
      <c r="A41" t="str">
        <f>HYPERLINK("./new_k5/query_cmdrels_weight_analyze/0.1_0.8_0.1/au_161313.xlsx","au_161313")</f>
        <v>au_161313</v>
      </c>
      <c r="B41">
        <v>0.5</v>
      </c>
      <c r="C41">
        <v>0</v>
      </c>
      <c r="D41">
        <v>0.5</v>
      </c>
      <c r="E41">
        <v>0</v>
      </c>
      <c r="F41">
        <v>0.5</v>
      </c>
      <c r="G41">
        <v>0.125</v>
      </c>
    </row>
    <row r="42" spans="1:7" x14ac:dyDescent="0.15">
      <c r="A42" t="str">
        <f>HYPERLINK("./new_k5/query_cmdrels_weight_analyze/0.1_0.8_0.1/au_162075.xlsx","au_162075")</f>
        <v>au_162075</v>
      </c>
      <c r="B42">
        <v>0.25</v>
      </c>
      <c r="C42">
        <v>0</v>
      </c>
      <c r="D42">
        <v>0.5</v>
      </c>
      <c r="E42">
        <v>8.3333333333333329E-2</v>
      </c>
      <c r="F42">
        <v>0.5</v>
      </c>
      <c r="G42">
        <v>0.20833333333333329</v>
      </c>
    </row>
    <row r="43" spans="1:7" x14ac:dyDescent="0.15">
      <c r="A43" t="str">
        <f>HYPERLINK("./new_k5/query_cmdrels_weight_analyze/0.1_0.8_0.1/au_16277.xlsx","au_16277")</f>
        <v>au_16277</v>
      </c>
      <c r="B43">
        <v>0.16666666666666671</v>
      </c>
      <c r="C43">
        <v>0.16666666666666671</v>
      </c>
      <c r="D43">
        <v>0.27777777777777768</v>
      </c>
      <c r="E43">
        <v>0.5</v>
      </c>
      <c r="F43">
        <v>0.27777777777777768</v>
      </c>
      <c r="G43">
        <v>0.83333333333333337</v>
      </c>
    </row>
    <row r="44" spans="1:7" x14ac:dyDescent="0.15">
      <c r="A44" t="str">
        <f>HYPERLINK("./new_k5/query_cmdrels_weight_analyze/0.1_0.8_0.1/au_163155.xlsx","au_163155")</f>
        <v>au_163155</v>
      </c>
      <c r="B44">
        <v>0.125</v>
      </c>
      <c r="C44">
        <v>0.125</v>
      </c>
      <c r="D44">
        <v>0.375</v>
      </c>
      <c r="E44">
        <v>0.20833333333333329</v>
      </c>
      <c r="F44">
        <v>0.5</v>
      </c>
      <c r="G44">
        <v>0.30208333333333331</v>
      </c>
    </row>
    <row r="45" spans="1:7" x14ac:dyDescent="0.15">
      <c r="A45" t="str">
        <f>HYPERLINK("./new_k5/query_cmdrels_weight_analyze/0.1_0.8_0.1/au_164473.xlsx","au_164473")</f>
        <v>au_164473</v>
      </c>
      <c r="B45">
        <v>0</v>
      </c>
      <c r="C45">
        <v>0</v>
      </c>
      <c r="D45">
        <v>0.1</v>
      </c>
      <c r="E45">
        <v>0</v>
      </c>
      <c r="F45">
        <v>0.18</v>
      </c>
      <c r="G45">
        <v>0</v>
      </c>
    </row>
    <row r="46" spans="1:7" x14ac:dyDescent="0.15">
      <c r="A46" t="str">
        <f>HYPERLINK("./new_k5/query_cmdrels_weight_analyze/0.1_0.8_0.1/au_16584.xlsx","au_16584")</f>
        <v>au_16584</v>
      </c>
      <c r="B46">
        <v>9.0909090909090912E-2</v>
      </c>
      <c r="C46">
        <v>9.0909090909090912E-2</v>
      </c>
      <c r="D46">
        <v>9.0909090909090912E-2</v>
      </c>
      <c r="E46">
        <v>9.0909090909090912E-2</v>
      </c>
      <c r="F46">
        <v>0.13636363636363641</v>
      </c>
      <c r="G46">
        <v>0.12727272727272729</v>
      </c>
    </row>
    <row r="47" spans="1:7" x14ac:dyDescent="0.15">
      <c r="A47" t="str">
        <f>HYPERLINK("./new_k5/query_cmdrels_weight_analyze/0.1_0.8_0.1/au_166420.xlsx","au_166420")</f>
        <v>au_166420</v>
      </c>
      <c r="B47">
        <v>0.2</v>
      </c>
      <c r="C47">
        <v>0.2</v>
      </c>
      <c r="D47">
        <v>0.33333333333333331</v>
      </c>
      <c r="E47">
        <v>0.4</v>
      </c>
      <c r="F47">
        <v>0.48333333333333328</v>
      </c>
      <c r="G47">
        <v>0.4</v>
      </c>
    </row>
    <row r="48" spans="1:7" x14ac:dyDescent="0.15">
      <c r="A48" t="str">
        <f>HYPERLINK("./new_k5/query_cmdrels_weight_analyze/0.1_0.8_0.1/au_169473.xlsx","au_169473")</f>
        <v>au_169473</v>
      </c>
      <c r="B48">
        <v>0.16666666666666671</v>
      </c>
      <c r="C48">
        <v>0.16666666666666671</v>
      </c>
      <c r="D48">
        <v>0.33333333333333331</v>
      </c>
      <c r="E48">
        <v>0.33333333333333331</v>
      </c>
      <c r="F48">
        <v>0.43333333333333329</v>
      </c>
      <c r="G48">
        <v>0.33333333333333331</v>
      </c>
    </row>
    <row r="49" spans="1:7" x14ac:dyDescent="0.15">
      <c r="A49" t="str">
        <f>HYPERLINK("./new_k5/query_cmdrels_weight_analyze/0.1_0.8_0.1/au_169516.xlsx","au_169516")</f>
        <v>au_169516</v>
      </c>
      <c r="B49">
        <v>0.25</v>
      </c>
      <c r="C49">
        <v>0.25</v>
      </c>
      <c r="D49">
        <v>0.25</v>
      </c>
      <c r="E49">
        <v>0.5</v>
      </c>
      <c r="F49">
        <v>0.25</v>
      </c>
      <c r="G49">
        <v>0.5</v>
      </c>
    </row>
    <row r="50" spans="1:7" x14ac:dyDescent="0.15">
      <c r="A50" t="str">
        <f>HYPERLINK("./new_k5/query_cmdrels_weight_analyze/0.1_0.8_0.1/au_174292.xlsx","au_174292")</f>
        <v>au_174292</v>
      </c>
      <c r="B50">
        <v>0</v>
      </c>
      <c r="C50">
        <v>0.25</v>
      </c>
      <c r="D50">
        <v>0</v>
      </c>
      <c r="E50">
        <v>0.25</v>
      </c>
      <c r="F50">
        <v>0</v>
      </c>
      <c r="G50">
        <v>0.35</v>
      </c>
    </row>
    <row r="51" spans="1:7" x14ac:dyDescent="0.15">
      <c r="A51" t="str">
        <f>HYPERLINK("./new_k5/query_cmdrels_weight_analyze/0.1_0.8_0.1/au_178481.xlsx","au_178481")</f>
        <v>au_178481</v>
      </c>
      <c r="B51">
        <v>0.33333333333333331</v>
      </c>
      <c r="C51">
        <v>0.33333333333333331</v>
      </c>
      <c r="D51">
        <v>0.66666666666666663</v>
      </c>
      <c r="E51">
        <v>0.66666666666666663</v>
      </c>
      <c r="F51">
        <v>0.66666666666666663</v>
      </c>
      <c r="G51">
        <v>0.66666666666666663</v>
      </c>
    </row>
    <row r="52" spans="1:7" x14ac:dyDescent="0.15">
      <c r="A52" t="str">
        <f>HYPERLINK("./new_k5/query_cmdrels_weight_analyze/0.1_0.8_0.1/au_180925.xlsx","au_180925")</f>
        <v>au_180925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</row>
    <row r="53" spans="1:7" x14ac:dyDescent="0.15">
      <c r="A53" t="str">
        <f>HYPERLINK("./new_k5/query_cmdrels_weight_analyze/0.1_0.8_0.1/au_187888.xlsx","au_187888")</f>
        <v>au_187888</v>
      </c>
      <c r="B53">
        <v>0</v>
      </c>
      <c r="C53">
        <v>0.14285714285714279</v>
      </c>
      <c r="D53">
        <v>7.1428571428571425E-2</v>
      </c>
      <c r="E53">
        <v>0.2857142857142857</v>
      </c>
      <c r="F53">
        <v>7.1428571428571425E-2</v>
      </c>
      <c r="G53">
        <v>0.39285714285714279</v>
      </c>
    </row>
    <row r="54" spans="1:7" x14ac:dyDescent="0.15">
      <c r="A54" t="str">
        <f>HYPERLINK("./new_k5/query_cmdrels_weight_analyze/0.1_0.8_0.1/au_191390.xlsx","au_191390")</f>
        <v>au_191390</v>
      </c>
      <c r="B54">
        <v>0.25</v>
      </c>
      <c r="C54">
        <v>0.25</v>
      </c>
      <c r="D54">
        <v>0.25</v>
      </c>
      <c r="E54">
        <v>0.25</v>
      </c>
      <c r="F54">
        <v>0.25</v>
      </c>
      <c r="G54">
        <v>0.25</v>
      </c>
    </row>
    <row r="55" spans="1:7" x14ac:dyDescent="0.15">
      <c r="A55" t="str">
        <f>HYPERLINK("./new_k5/query_cmdrels_weight_analyze/0.1_0.8_0.1/au_192798.xlsx","au_192798")</f>
        <v>au_192798</v>
      </c>
      <c r="B55">
        <v>0</v>
      </c>
      <c r="C55">
        <v>0</v>
      </c>
      <c r="D55">
        <v>0</v>
      </c>
      <c r="E55">
        <v>0.33333333333333331</v>
      </c>
      <c r="F55">
        <v>0</v>
      </c>
      <c r="G55">
        <v>0.33333333333333331</v>
      </c>
    </row>
    <row r="56" spans="1:7" x14ac:dyDescent="0.15">
      <c r="A56" t="str">
        <f>HYPERLINK("./new_k5/query_cmdrels_weight_analyze/0.1_0.8_0.1/au_201775.xlsx","au_201775")</f>
        <v>au_201775</v>
      </c>
      <c r="B56">
        <v>0.33333333333333331</v>
      </c>
      <c r="C56">
        <v>0.33333333333333331</v>
      </c>
      <c r="D56">
        <v>0.66666666666666663</v>
      </c>
      <c r="E56">
        <v>0.33333333333333331</v>
      </c>
      <c r="F56">
        <v>0.66666666666666663</v>
      </c>
      <c r="G56">
        <v>0.70000000000000007</v>
      </c>
    </row>
    <row r="57" spans="1:7" x14ac:dyDescent="0.15">
      <c r="A57" t="str">
        <f>HYPERLINK("./new_k5/query_cmdrels_weight_analyze/0.1_0.8_0.1/au_204166.xlsx","au_204166")</f>
        <v>au_204166</v>
      </c>
      <c r="B57">
        <v>0.2</v>
      </c>
      <c r="C57">
        <v>0.2</v>
      </c>
      <c r="D57">
        <v>0.6</v>
      </c>
      <c r="E57">
        <v>0.6</v>
      </c>
      <c r="F57">
        <v>0.6</v>
      </c>
      <c r="G57">
        <v>1</v>
      </c>
    </row>
    <row r="58" spans="1:7" x14ac:dyDescent="0.15">
      <c r="A58" t="str">
        <f>HYPERLINK("./new_k5/query_cmdrels_weight_analyze/0.1_0.8_0.1/au_207447.xlsx","au_207447")</f>
        <v>au_207447</v>
      </c>
      <c r="B58">
        <v>0.33333333333333331</v>
      </c>
      <c r="C58">
        <v>0</v>
      </c>
      <c r="D58">
        <v>0.33333333333333331</v>
      </c>
      <c r="E58">
        <v>0.1111111111111111</v>
      </c>
      <c r="F58">
        <v>0.33333333333333331</v>
      </c>
      <c r="G58">
        <v>0.1111111111111111</v>
      </c>
    </row>
    <row r="59" spans="1:7" x14ac:dyDescent="0.15">
      <c r="A59" t="str">
        <f>HYPERLINK("./new_k5/query_cmdrels_weight_analyze/0.1_0.8_0.1/au_210680.xlsx","au_210680")</f>
        <v>au_210680</v>
      </c>
      <c r="B59">
        <v>0.2</v>
      </c>
      <c r="C59">
        <v>0.2</v>
      </c>
      <c r="D59">
        <v>0.6</v>
      </c>
      <c r="E59">
        <v>0.6</v>
      </c>
      <c r="F59">
        <v>0.6</v>
      </c>
      <c r="G59">
        <v>0.6</v>
      </c>
    </row>
    <row r="60" spans="1:7" x14ac:dyDescent="0.15">
      <c r="A60" t="str">
        <f>HYPERLINK("./new_k5/query_cmdrels_weight_analyze/0.1_0.8_0.1/au_214246.xlsx","au_214246")</f>
        <v>au_214246</v>
      </c>
      <c r="B60">
        <v>0.2</v>
      </c>
      <c r="C60">
        <v>0.2</v>
      </c>
      <c r="D60">
        <v>0.4</v>
      </c>
      <c r="E60">
        <v>0.4</v>
      </c>
      <c r="F60">
        <v>0.55000000000000004</v>
      </c>
      <c r="G60">
        <v>0.4</v>
      </c>
    </row>
    <row r="61" spans="1:7" x14ac:dyDescent="0.15">
      <c r="A61" t="str">
        <f>HYPERLINK("./new_k5/query_cmdrels_weight_analyze/0.1_0.8_0.1/au_214643.xlsx","au_214643")</f>
        <v>au_214643</v>
      </c>
      <c r="B61">
        <v>0.5</v>
      </c>
      <c r="C61">
        <v>0.5</v>
      </c>
      <c r="D61">
        <v>0.5</v>
      </c>
      <c r="E61">
        <v>0.5</v>
      </c>
      <c r="F61">
        <v>0.5</v>
      </c>
      <c r="G61">
        <v>0.5</v>
      </c>
    </row>
    <row r="62" spans="1:7" x14ac:dyDescent="0.15">
      <c r="A62" t="str">
        <f>HYPERLINK("./new_k5/query_cmdrels_weight_analyze/0.1_0.8_0.1/au_2194.xlsx","au_2194")</f>
        <v>au_2194</v>
      </c>
      <c r="B62">
        <v>0</v>
      </c>
      <c r="C62">
        <v>0.14285714285714279</v>
      </c>
      <c r="D62">
        <v>4.7619047619047623E-2</v>
      </c>
      <c r="E62">
        <v>0.14285714285714279</v>
      </c>
      <c r="F62">
        <v>0.119047619047619</v>
      </c>
      <c r="G62">
        <v>0.3</v>
      </c>
    </row>
    <row r="63" spans="1:7" x14ac:dyDescent="0.15">
      <c r="A63" t="str">
        <f>HYPERLINK("./new_k5/query_cmdrels_weight_analyze/0.1_0.8_0.1/au_221962.xlsx","au_221962")</f>
        <v>au_221962</v>
      </c>
      <c r="B63">
        <v>0</v>
      </c>
      <c r="C63">
        <v>0.16666666666666671</v>
      </c>
      <c r="D63">
        <v>5.5555555555555552E-2</v>
      </c>
      <c r="E63">
        <v>0.16666666666666671</v>
      </c>
      <c r="F63">
        <v>0.1388888888888889</v>
      </c>
      <c r="G63">
        <v>0.35</v>
      </c>
    </row>
    <row r="64" spans="1:7" x14ac:dyDescent="0.15">
      <c r="A64" t="str">
        <f>HYPERLINK("./new_k5/query_cmdrels_weight_analyze/0.1_0.8_0.1/au_22608.xlsx","au_22608")</f>
        <v>au_22608</v>
      </c>
      <c r="B64">
        <v>0.33333333333333331</v>
      </c>
      <c r="C64">
        <v>0</v>
      </c>
      <c r="D64">
        <v>0.33333333333333331</v>
      </c>
      <c r="E64">
        <v>0.16666666666666671</v>
      </c>
      <c r="F64">
        <v>0.33333333333333331</v>
      </c>
      <c r="G64">
        <v>0.33333333333333331</v>
      </c>
    </row>
    <row r="65" spans="1:7" x14ac:dyDescent="0.15">
      <c r="A65" t="str">
        <f>HYPERLINK("./new_k5/query_cmdrels_weight_analyze/0.1_0.8_0.1/au_230698.xlsx","au_230698")</f>
        <v>au_230698</v>
      </c>
      <c r="B65">
        <v>0.125</v>
      </c>
      <c r="C65">
        <v>0.125</v>
      </c>
      <c r="D65">
        <v>0.25</v>
      </c>
      <c r="E65">
        <v>0.20833333333333329</v>
      </c>
      <c r="F65">
        <v>0.32500000000000001</v>
      </c>
      <c r="G65">
        <v>0.28333333333333333</v>
      </c>
    </row>
    <row r="66" spans="1:7" x14ac:dyDescent="0.15">
      <c r="A66" t="str">
        <f>HYPERLINK("./new_k5/query_cmdrels_weight_analyze/0.1_0.8_0.1/au_232442.xlsx","au_232442")</f>
        <v>au_232442</v>
      </c>
      <c r="B66">
        <v>0.5</v>
      </c>
      <c r="C66">
        <v>0</v>
      </c>
      <c r="D66">
        <v>0.5</v>
      </c>
      <c r="E66">
        <v>0</v>
      </c>
      <c r="F66">
        <v>0.5</v>
      </c>
      <c r="G66">
        <v>0</v>
      </c>
    </row>
    <row r="67" spans="1:7" x14ac:dyDescent="0.15">
      <c r="A67" t="str">
        <f>HYPERLINK("./new_k5/query_cmdrels_weight_analyze/0.1_0.8_0.1/au_233378.xlsx","au_233378")</f>
        <v>au_233378</v>
      </c>
      <c r="B67">
        <v>0.5</v>
      </c>
      <c r="C67">
        <v>0.5</v>
      </c>
      <c r="D67">
        <v>1</v>
      </c>
      <c r="E67">
        <v>0.5</v>
      </c>
      <c r="F67">
        <v>1</v>
      </c>
      <c r="G67">
        <v>0.5</v>
      </c>
    </row>
    <row r="68" spans="1:7" x14ac:dyDescent="0.15">
      <c r="A68" t="str">
        <f>HYPERLINK("./new_k5/query_cmdrels_weight_analyze/0.1_0.8_0.1/au_24027.xlsx","au_24027")</f>
        <v>au_24027</v>
      </c>
      <c r="B68">
        <v>0.16666666666666671</v>
      </c>
      <c r="C68">
        <v>0.16666666666666671</v>
      </c>
      <c r="D68">
        <v>0.16666666666666671</v>
      </c>
      <c r="E68">
        <v>0.33333333333333331</v>
      </c>
      <c r="F68">
        <v>0.23333333333333331</v>
      </c>
      <c r="G68">
        <v>0.45833333333333331</v>
      </c>
    </row>
    <row r="69" spans="1:7" x14ac:dyDescent="0.15">
      <c r="A69" t="str">
        <f>HYPERLINK("./new_k5/query_cmdrels_weight_analyze/0.1_0.8_0.1/au_246647.xlsx","au_246647")</f>
        <v>au_246647</v>
      </c>
      <c r="B69">
        <v>0.125</v>
      </c>
      <c r="C69">
        <v>0.125</v>
      </c>
      <c r="D69">
        <v>0.375</v>
      </c>
      <c r="E69">
        <v>0.20833333333333329</v>
      </c>
      <c r="F69">
        <v>0.47499999999999998</v>
      </c>
      <c r="G69">
        <v>0.20833333333333329</v>
      </c>
    </row>
    <row r="70" spans="1:7" x14ac:dyDescent="0.15">
      <c r="A70" t="str">
        <f>HYPERLINK("./new_k5/query_cmdrels_weight_analyze/0.1_0.8_0.1/au_254424.xlsx","au_254424")</f>
        <v>au_254424</v>
      </c>
      <c r="B70">
        <v>0</v>
      </c>
      <c r="C70">
        <v>0</v>
      </c>
      <c r="D70">
        <v>0.125</v>
      </c>
      <c r="E70">
        <v>0</v>
      </c>
      <c r="F70">
        <v>0.125</v>
      </c>
      <c r="G70">
        <v>0</v>
      </c>
    </row>
    <row r="71" spans="1:7" x14ac:dyDescent="0.15">
      <c r="A71" t="str">
        <f>HYPERLINK("./new_k5/query_cmdrels_weight_analyze/0.1_0.8_0.1/au_255890.xlsx","au_255890")</f>
        <v>au_255890</v>
      </c>
      <c r="B71">
        <v>0</v>
      </c>
      <c r="C71">
        <v>0</v>
      </c>
      <c r="D71">
        <v>0.25</v>
      </c>
      <c r="E71">
        <v>0</v>
      </c>
      <c r="F71">
        <v>0.25</v>
      </c>
      <c r="G71">
        <v>0</v>
      </c>
    </row>
    <row r="72" spans="1:7" x14ac:dyDescent="0.15">
      <c r="A72" t="str">
        <f>HYPERLINK("./new_k5/query_cmdrels_weight_analyze/0.1_0.8_0.1/au_257248.xlsx","au_257248")</f>
        <v>au_257248</v>
      </c>
      <c r="B72">
        <v>0</v>
      </c>
      <c r="C72">
        <v>0</v>
      </c>
      <c r="D72">
        <v>0.16666666666666671</v>
      </c>
      <c r="E72">
        <v>0</v>
      </c>
      <c r="F72">
        <v>0.25238095238095237</v>
      </c>
      <c r="G72">
        <v>9.285714285714286E-2</v>
      </c>
    </row>
    <row r="73" spans="1:7" x14ac:dyDescent="0.15">
      <c r="A73" t="str">
        <f>HYPERLINK("./new_k5/query_cmdrels_weight_analyze/0.1_0.8_0.1/au_259354.xlsx","au_259354")</f>
        <v>au_259354</v>
      </c>
      <c r="B73">
        <v>0</v>
      </c>
      <c r="C73">
        <v>0.14285714285714279</v>
      </c>
      <c r="D73">
        <v>0.16666666666666671</v>
      </c>
      <c r="E73">
        <v>0.42857142857142849</v>
      </c>
      <c r="F73">
        <v>0.27380952380952378</v>
      </c>
      <c r="G73">
        <v>0.42857142857142849</v>
      </c>
    </row>
    <row r="74" spans="1:7" x14ac:dyDescent="0.15">
      <c r="A74" t="str">
        <f>HYPERLINK("./new_k5/query_cmdrels_weight_analyze/0.1_0.8_0.1/au_263378.xlsx","au_263378")</f>
        <v>au_263378</v>
      </c>
      <c r="B74">
        <v>0.125</v>
      </c>
      <c r="C74">
        <v>0.125</v>
      </c>
      <c r="D74">
        <v>0.375</v>
      </c>
      <c r="E74">
        <v>0.375</v>
      </c>
      <c r="F74">
        <v>0.625</v>
      </c>
      <c r="G74">
        <v>0.47499999999999998</v>
      </c>
    </row>
    <row r="75" spans="1:7" x14ac:dyDescent="0.15">
      <c r="A75" t="str">
        <f>HYPERLINK("./new_k5/query_cmdrels_weight_analyze/0.1_0.8_0.1/au_264215.xlsx","au_264215")</f>
        <v>au_264215</v>
      </c>
      <c r="B75">
        <v>0.5</v>
      </c>
      <c r="C75">
        <v>0.5</v>
      </c>
      <c r="D75">
        <v>1</v>
      </c>
      <c r="E75">
        <v>0.5</v>
      </c>
      <c r="F75">
        <v>1</v>
      </c>
      <c r="G75">
        <v>0.5</v>
      </c>
    </row>
    <row r="76" spans="1:7" x14ac:dyDescent="0.15">
      <c r="A76" t="str">
        <f>HYPERLINK("./new_k5/query_cmdrels_weight_analyze/0.1_0.8_0.1/au_265176.xlsx","au_265176")</f>
        <v>au_265176</v>
      </c>
      <c r="B76">
        <v>0.5</v>
      </c>
      <c r="C76">
        <v>0.5</v>
      </c>
      <c r="D76">
        <v>0.5</v>
      </c>
      <c r="E76">
        <v>0.5</v>
      </c>
      <c r="F76">
        <v>0.5</v>
      </c>
      <c r="G76">
        <v>0.5</v>
      </c>
    </row>
    <row r="77" spans="1:7" x14ac:dyDescent="0.15">
      <c r="A77" t="str">
        <f>HYPERLINK("./new_k5/query_cmdrels_weight_analyze/0.1_0.8_0.1/au_275704.xlsx","au_275704")</f>
        <v>au_275704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</row>
    <row r="78" spans="1:7" x14ac:dyDescent="0.15">
      <c r="A78" t="str">
        <f>HYPERLINK("./new_k5/query_cmdrels_weight_analyze/0.1_0.8_0.1/au_276669.xlsx","au_276669")</f>
        <v>au_276669</v>
      </c>
      <c r="B78">
        <v>0</v>
      </c>
      <c r="C78">
        <v>0.14285714285714279</v>
      </c>
      <c r="D78">
        <v>0.16666666666666671</v>
      </c>
      <c r="E78">
        <v>0.42857142857142849</v>
      </c>
      <c r="F78">
        <v>0.25238095238095237</v>
      </c>
      <c r="G78">
        <v>0.7142857142857143</v>
      </c>
    </row>
    <row r="79" spans="1:7" x14ac:dyDescent="0.15">
      <c r="A79" t="str">
        <f>HYPERLINK("./new_k5/query_cmdrels_weight_analyze/0.1_0.8_0.1/au_277565.xlsx","au_277565")</f>
        <v>au_277565</v>
      </c>
      <c r="B79">
        <v>0.5</v>
      </c>
      <c r="C79">
        <v>0.5</v>
      </c>
      <c r="D79">
        <v>0.5</v>
      </c>
      <c r="E79">
        <v>1</v>
      </c>
      <c r="F79">
        <v>0.5</v>
      </c>
      <c r="G79">
        <v>1</v>
      </c>
    </row>
    <row r="80" spans="1:7" x14ac:dyDescent="0.15">
      <c r="A80" t="str">
        <f>HYPERLINK("./new_k5/query_cmdrels_weight_analyze/0.1_0.8_0.1/au_278403.xlsx","au_278403")</f>
        <v>au_278403</v>
      </c>
      <c r="B80">
        <v>0</v>
      </c>
      <c r="C80">
        <v>0</v>
      </c>
      <c r="D80">
        <v>8.3333333333333329E-2</v>
      </c>
      <c r="E80">
        <v>8.3333333333333329E-2</v>
      </c>
      <c r="F80">
        <v>0.20833333333333329</v>
      </c>
      <c r="G80">
        <v>8.3333333333333329E-2</v>
      </c>
    </row>
    <row r="81" spans="1:7" x14ac:dyDescent="0.15">
      <c r="A81" t="str">
        <f>HYPERLINK("./new_k5/query_cmdrels_weight_analyze/0.1_0.8_0.1/au_28039.xlsx","au_28039")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15">
      <c r="A82" t="str">
        <f>HYPERLINK("./new_k5/query_cmdrels_weight_analyze/0.1_0.8_0.1/au_281509.xlsx","au_281509")</f>
        <v>au_281509</v>
      </c>
      <c r="B82">
        <v>0.33333333333333331</v>
      </c>
      <c r="C82">
        <v>0.33333333333333331</v>
      </c>
      <c r="D82">
        <v>0.55555555555555547</v>
      </c>
      <c r="E82">
        <v>0.33333333333333331</v>
      </c>
      <c r="F82">
        <v>0.55555555555555547</v>
      </c>
      <c r="G82">
        <v>0.5</v>
      </c>
    </row>
    <row r="83" spans="1:7" x14ac:dyDescent="0.15">
      <c r="A83" t="str">
        <f>HYPERLINK("./new_k5/query_cmdrels_weight_analyze/0.1_0.8_0.1/au_282806.xlsx","au_282806")</f>
        <v>au_282806</v>
      </c>
      <c r="B83">
        <v>0</v>
      </c>
      <c r="C83">
        <v>0.33333333333333331</v>
      </c>
      <c r="D83">
        <v>0.38888888888888878</v>
      </c>
      <c r="E83">
        <v>0.55555555555555547</v>
      </c>
      <c r="F83">
        <v>0.38888888888888878</v>
      </c>
      <c r="G83">
        <v>0.80555555555555547</v>
      </c>
    </row>
    <row r="84" spans="1:7" x14ac:dyDescent="0.15">
      <c r="A84" t="str">
        <f>HYPERLINK("./new_k5/query_cmdrels_weight_analyze/0.1_0.8_0.1/au_283559.xlsx","au_283559")</f>
        <v>au_283559</v>
      </c>
      <c r="B84">
        <v>0</v>
      </c>
      <c r="C84">
        <v>0.33333333333333331</v>
      </c>
      <c r="D84">
        <v>0</v>
      </c>
      <c r="E84">
        <v>0.33333333333333331</v>
      </c>
      <c r="F84">
        <v>0</v>
      </c>
      <c r="G84">
        <v>0.33333333333333331</v>
      </c>
    </row>
    <row r="85" spans="1:7" x14ac:dyDescent="0.15">
      <c r="A85" t="str">
        <f>HYPERLINK("./new_k5/query_cmdrels_weight_analyze/0.1_0.8_0.1/au_285539.xlsx","au_285539")</f>
        <v>au_285539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</row>
    <row r="86" spans="1:7" x14ac:dyDescent="0.15">
      <c r="A86" t="str">
        <f>HYPERLINK("./new_k5/query_cmdrels_weight_analyze/0.1_0.8_0.1/au_287532.xlsx","au_287532")</f>
        <v>au_287532</v>
      </c>
      <c r="B86">
        <v>0</v>
      </c>
      <c r="C86">
        <v>0.25</v>
      </c>
      <c r="D86">
        <v>0</v>
      </c>
      <c r="E86">
        <v>0.25</v>
      </c>
      <c r="F86">
        <v>0</v>
      </c>
      <c r="G86">
        <v>0.25</v>
      </c>
    </row>
    <row r="87" spans="1:7" x14ac:dyDescent="0.15">
      <c r="A87" t="str">
        <f>HYPERLINK("./new_k5/query_cmdrels_weight_analyze/0.1_0.8_0.1/au_294257.xlsx","au_294257")</f>
        <v>au_294257</v>
      </c>
      <c r="B87">
        <v>0.14285714285714279</v>
      </c>
      <c r="C87">
        <v>0.14285714285714279</v>
      </c>
      <c r="D87">
        <v>0.42857142857142849</v>
      </c>
      <c r="E87">
        <v>0.42857142857142849</v>
      </c>
      <c r="F87">
        <v>0.7142857142857143</v>
      </c>
      <c r="G87">
        <v>0.5714285714285714</v>
      </c>
    </row>
    <row r="88" spans="1:7" x14ac:dyDescent="0.15">
      <c r="A88" t="str">
        <f>HYPERLINK("./new_k5/query_cmdrels_weight_analyze/0.1_0.8_0.1/au_296155.xlsx","au_296155")</f>
        <v>au_296155</v>
      </c>
      <c r="B88">
        <v>0.25</v>
      </c>
      <c r="C88">
        <v>0.25</v>
      </c>
      <c r="D88">
        <v>0.75</v>
      </c>
      <c r="E88">
        <v>0.25</v>
      </c>
      <c r="F88">
        <v>0.95</v>
      </c>
      <c r="G88">
        <v>0.25</v>
      </c>
    </row>
    <row r="89" spans="1:7" x14ac:dyDescent="0.15">
      <c r="A89" t="str">
        <f>HYPERLINK("./new_k5/query_cmdrels_weight_analyze/0.1_0.8_0.1/au_299975.xlsx","au_299975")</f>
        <v>au_299975</v>
      </c>
      <c r="B89">
        <v>0.25</v>
      </c>
      <c r="C89">
        <v>0</v>
      </c>
      <c r="D89">
        <v>0.5</v>
      </c>
      <c r="E89">
        <v>0</v>
      </c>
      <c r="F89">
        <v>0.6875</v>
      </c>
      <c r="G89">
        <v>0</v>
      </c>
    </row>
    <row r="90" spans="1:7" x14ac:dyDescent="0.15">
      <c r="A90" t="str">
        <f>HYPERLINK("./new_k5/query_cmdrels_weight_analyze/0.1_0.8_0.1/au_301096.xlsx","au_301096")</f>
        <v>au_301096</v>
      </c>
      <c r="B90">
        <v>0.125</v>
      </c>
      <c r="C90">
        <v>0.125</v>
      </c>
      <c r="D90">
        <v>0.375</v>
      </c>
      <c r="E90">
        <v>0.375</v>
      </c>
      <c r="F90">
        <v>0.5</v>
      </c>
      <c r="G90">
        <v>0.625</v>
      </c>
    </row>
    <row r="91" spans="1:7" x14ac:dyDescent="0.15">
      <c r="A91" t="str">
        <f>HYPERLINK("./new_k5/query_cmdrels_weight_analyze/0.1_0.8_0.1/au_303593.xlsx","au_303593")</f>
        <v>au_303593</v>
      </c>
      <c r="B91">
        <v>0.25</v>
      </c>
      <c r="C91">
        <v>0.25</v>
      </c>
      <c r="D91">
        <v>0.5</v>
      </c>
      <c r="E91">
        <v>0.5</v>
      </c>
      <c r="F91">
        <v>0.5</v>
      </c>
      <c r="G91">
        <v>0.5</v>
      </c>
    </row>
    <row r="92" spans="1:7" x14ac:dyDescent="0.15">
      <c r="A92" t="str">
        <f>HYPERLINK("./new_k5/query_cmdrels_weight_analyze/0.1_0.8_0.1/au_303849.xlsx","au_303849")</f>
        <v>au_303849</v>
      </c>
      <c r="B92">
        <v>0.1111111111111111</v>
      </c>
      <c r="C92">
        <v>0</v>
      </c>
      <c r="D92">
        <v>0.1111111111111111</v>
      </c>
      <c r="E92">
        <v>5.5555555555555552E-2</v>
      </c>
      <c r="F92">
        <v>0.1111111111111111</v>
      </c>
      <c r="G92">
        <v>5.5555555555555552E-2</v>
      </c>
    </row>
    <row r="93" spans="1:7" x14ac:dyDescent="0.15">
      <c r="A93" t="str">
        <f>HYPERLINK("./new_k5/query_cmdrels_weight_analyze/0.1_0.8_0.1/au_307541.xlsx","au_307541")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 t="str">
        <f>HYPERLINK("./new_k5/query_cmdrels_weight_analyze/0.1_0.8_0.1/au_307688.xlsx","au_307688")</f>
        <v>au_307688</v>
      </c>
      <c r="B94">
        <v>0.2</v>
      </c>
      <c r="C94">
        <v>0.2</v>
      </c>
      <c r="D94">
        <v>0.33333333333333331</v>
      </c>
      <c r="E94">
        <v>0.4</v>
      </c>
      <c r="F94">
        <v>0.33333333333333331</v>
      </c>
      <c r="G94">
        <v>0.4</v>
      </c>
    </row>
    <row r="95" spans="1:7" x14ac:dyDescent="0.15">
      <c r="A95" t="str">
        <f>HYPERLINK("./new_k5/query_cmdrels_weight_analyze/0.1_0.8_0.1/au_309047.xlsx","au_309047")</f>
        <v>au_309047</v>
      </c>
      <c r="B95">
        <v>0.25</v>
      </c>
      <c r="C95">
        <v>0.25</v>
      </c>
      <c r="D95">
        <v>0.25</v>
      </c>
      <c r="E95">
        <v>0.41666666666666657</v>
      </c>
      <c r="F95">
        <v>0.25</v>
      </c>
      <c r="G95">
        <v>0.41666666666666657</v>
      </c>
    </row>
    <row r="96" spans="1:7" x14ac:dyDescent="0.15">
      <c r="A96" t="str">
        <f>HYPERLINK("./new_k5/query_cmdrels_weight_analyze/0.1_0.8_0.1/au_311558.xlsx","au_311558")</f>
        <v>au_311558</v>
      </c>
      <c r="B96">
        <v>0</v>
      </c>
      <c r="C96">
        <v>0.25</v>
      </c>
      <c r="D96">
        <v>0.29166666666666657</v>
      </c>
      <c r="E96">
        <v>0.41666666666666657</v>
      </c>
      <c r="F96">
        <v>0.29166666666666657</v>
      </c>
      <c r="G96">
        <v>0.41666666666666657</v>
      </c>
    </row>
    <row r="97" spans="1:7" x14ac:dyDescent="0.15">
      <c r="A97" t="str">
        <f>HYPERLINK("./new_k5/query_cmdrels_weight_analyze/0.1_0.8_0.1/au_318973.xlsx","au_318973")</f>
        <v>au_318973</v>
      </c>
      <c r="B97">
        <v>0.125</v>
      </c>
      <c r="C97">
        <v>0.125</v>
      </c>
      <c r="D97">
        <v>0.375</v>
      </c>
      <c r="E97">
        <v>0.375</v>
      </c>
      <c r="F97">
        <v>0.5</v>
      </c>
      <c r="G97">
        <v>0.625</v>
      </c>
    </row>
    <row r="98" spans="1:7" x14ac:dyDescent="0.15">
      <c r="A98" t="str">
        <f>HYPERLINK("./new_k5/query_cmdrels_weight_analyze/0.1_0.8_0.1/au_3205.xlsx","au_3205")</f>
        <v>au_3205</v>
      </c>
      <c r="B98">
        <v>0.5</v>
      </c>
      <c r="C98">
        <v>0.5</v>
      </c>
      <c r="D98">
        <v>0.5</v>
      </c>
      <c r="E98">
        <v>1</v>
      </c>
      <c r="F98">
        <v>0.5</v>
      </c>
      <c r="G98">
        <v>1</v>
      </c>
    </row>
    <row r="99" spans="1:7" x14ac:dyDescent="0.15">
      <c r="A99" t="str">
        <f>HYPERLINK("./new_k5/query_cmdrels_weight_analyze/0.1_0.8_0.1/au_323131.xlsx","au_323131")</f>
        <v>au_323131</v>
      </c>
      <c r="B99">
        <v>0.33333333333333331</v>
      </c>
      <c r="C99">
        <v>0.33333333333333331</v>
      </c>
      <c r="D99">
        <v>0.33333333333333331</v>
      </c>
      <c r="E99">
        <v>0.33333333333333331</v>
      </c>
      <c r="F99">
        <v>0.33333333333333331</v>
      </c>
      <c r="G99">
        <v>0.5</v>
      </c>
    </row>
    <row r="100" spans="1:7" x14ac:dyDescent="0.15">
      <c r="A100" t="str">
        <f>HYPERLINK("./new_k5/query_cmdrels_weight_analyze/0.1_0.8_0.1/au_323392.xlsx","au_323392")</f>
        <v>au_323392</v>
      </c>
      <c r="B100">
        <v>0.125</v>
      </c>
      <c r="C100">
        <v>0.125</v>
      </c>
      <c r="D100">
        <v>0.25</v>
      </c>
      <c r="E100">
        <v>0.375</v>
      </c>
      <c r="F100">
        <v>0.25</v>
      </c>
      <c r="G100">
        <v>0.375</v>
      </c>
    </row>
    <row r="101" spans="1:7" x14ac:dyDescent="0.15">
      <c r="A101" t="str">
        <f>HYPERLINK("./new_k5/query_cmdrels_weight_analyze/0.1_0.8_0.1/au_325368.xlsx","au_325368")</f>
        <v>au_325368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x14ac:dyDescent="0.15">
      <c r="A102" t="str">
        <f>HYPERLINK("./new_k5/query_cmdrels_weight_analyze/0.1_0.8_0.1/au_328162.xlsx","au_328162")</f>
        <v>au_328162</v>
      </c>
      <c r="B102">
        <v>0.33333333333333331</v>
      </c>
      <c r="C102">
        <v>0.33333333333333331</v>
      </c>
      <c r="D102">
        <v>1</v>
      </c>
      <c r="E102">
        <v>0.55555555555555547</v>
      </c>
      <c r="F102">
        <v>1</v>
      </c>
      <c r="G102">
        <v>0.55555555555555547</v>
      </c>
    </row>
    <row r="103" spans="1:7" x14ac:dyDescent="0.15">
      <c r="A103" t="str">
        <f>HYPERLINK("./new_k5/query_cmdrels_weight_analyze/0.1_0.8_0.1/au_330148.xlsx","au_330148")</f>
        <v>au_330148</v>
      </c>
      <c r="B103">
        <v>0</v>
      </c>
      <c r="C103">
        <v>0.2</v>
      </c>
      <c r="D103">
        <v>0.23333333333333331</v>
      </c>
      <c r="E103">
        <v>0.2</v>
      </c>
      <c r="F103">
        <v>0.54333333333333333</v>
      </c>
      <c r="G103">
        <v>0.3</v>
      </c>
    </row>
    <row r="104" spans="1:7" x14ac:dyDescent="0.15">
      <c r="A104" t="str">
        <f>HYPERLINK("./new_k5/query_cmdrels_weight_analyze/0.1_0.8_0.1/au_332315.xlsx","au_332315")</f>
        <v>au_332315</v>
      </c>
      <c r="B104">
        <v>0.33333333333333331</v>
      </c>
      <c r="C104">
        <v>0.33333333333333331</v>
      </c>
      <c r="D104">
        <v>0.55555555555555547</v>
      </c>
      <c r="E104">
        <v>0.33333333333333331</v>
      </c>
      <c r="F104">
        <v>0.75555555555555554</v>
      </c>
      <c r="G104">
        <v>0.33333333333333331</v>
      </c>
    </row>
    <row r="105" spans="1:7" x14ac:dyDescent="0.15">
      <c r="A105" t="str">
        <f>HYPERLINK("./new_k5/query_cmdrels_weight_analyze/0.1_0.8_0.1/au_334081.xlsx","au_334081")</f>
        <v>au_334081</v>
      </c>
      <c r="B105">
        <v>0.25</v>
      </c>
      <c r="C105">
        <v>0.25</v>
      </c>
      <c r="D105">
        <v>0.41666666666666657</v>
      </c>
      <c r="E105">
        <v>0.5</v>
      </c>
      <c r="F105">
        <v>0.41666666666666657</v>
      </c>
      <c r="G105">
        <v>0.5</v>
      </c>
    </row>
    <row r="106" spans="1:7" x14ac:dyDescent="0.15">
      <c r="A106" t="str">
        <f>HYPERLINK("./new_k5/query_cmdrels_weight_analyze/0.1_0.8_0.1/au_34077.xlsx","au_34077")</f>
        <v>au_34077</v>
      </c>
      <c r="B106">
        <v>0.16666666666666671</v>
      </c>
      <c r="C106">
        <v>0.16666666666666671</v>
      </c>
      <c r="D106">
        <v>0.33333333333333331</v>
      </c>
      <c r="E106">
        <v>0.5</v>
      </c>
      <c r="F106">
        <v>0.33333333333333331</v>
      </c>
      <c r="G106">
        <v>0.6333333333333333</v>
      </c>
    </row>
    <row r="107" spans="1:7" x14ac:dyDescent="0.15">
      <c r="A107" t="str">
        <f>HYPERLINK("./new_k5/query_cmdrels_weight_analyze/0.1_0.8_0.1/au_341428.xlsx","au_341428")</f>
        <v>au_341428</v>
      </c>
      <c r="B107">
        <v>0.14285714285714279</v>
      </c>
      <c r="C107">
        <v>0.14285714285714279</v>
      </c>
      <c r="D107">
        <v>0.42857142857142849</v>
      </c>
      <c r="E107">
        <v>0.2857142857142857</v>
      </c>
      <c r="F107">
        <v>0.5714285714285714</v>
      </c>
      <c r="G107">
        <v>0.50714285714285712</v>
      </c>
    </row>
    <row r="108" spans="1:7" x14ac:dyDescent="0.15">
      <c r="A108" t="str">
        <f>HYPERLINK("./new_k5/query_cmdrels_weight_analyze/0.1_0.8_0.1/au_341584.xlsx","au_341584")</f>
        <v>au_341584</v>
      </c>
      <c r="B108">
        <v>0.25</v>
      </c>
      <c r="C108">
        <v>0</v>
      </c>
      <c r="D108">
        <v>0.5</v>
      </c>
      <c r="E108">
        <v>0.125</v>
      </c>
      <c r="F108">
        <v>0.5</v>
      </c>
      <c r="G108">
        <v>0.125</v>
      </c>
    </row>
    <row r="109" spans="1:7" x14ac:dyDescent="0.15">
      <c r="A109" t="str">
        <f>HYPERLINK("./new_k5/query_cmdrels_weight_analyze/0.1_0.8_0.1/au_346864.xlsx","au_346864")</f>
        <v>au_346864</v>
      </c>
      <c r="B109">
        <v>0.14285714285714279</v>
      </c>
      <c r="C109">
        <v>0.14285714285714279</v>
      </c>
      <c r="D109">
        <v>0.23809523809523811</v>
      </c>
      <c r="E109">
        <v>0.14285714285714279</v>
      </c>
      <c r="F109">
        <v>0.23809523809523811</v>
      </c>
      <c r="G109">
        <v>0.2142857142857143</v>
      </c>
    </row>
    <row r="110" spans="1:7" x14ac:dyDescent="0.15">
      <c r="A110" t="str">
        <f>HYPERLINK("./new_k5/query_cmdrels_weight_analyze/0.1_0.8_0.1/au_351765.xlsx","au_351765")</f>
        <v>au_351765</v>
      </c>
      <c r="B110">
        <v>0</v>
      </c>
      <c r="C110">
        <v>0.5</v>
      </c>
      <c r="D110">
        <v>0</v>
      </c>
      <c r="E110">
        <v>0.5</v>
      </c>
      <c r="F110">
        <v>0</v>
      </c>
      <c r="G110">
        <v>0.5</v>
      </c>
    </row>
    <row r="111" spans="1:7" x14ac:dyDescent="0.15">
      <c r="A111" t="str">
        <f>HYPERLINK("./new_k5/query_cmdrels_weight_analyze/0.1_0.8_0.1/au_35922.xlsx","au_35922")</f>
        <v>au_35922</v>
      </c>
      <c r="B111">
        <v>0</v>
      </c>
      <c r="C111">
        <v>0.5</v>
      </c>
      <c r="D111">
        <v>0</v>
      </c>
      <c r="E111">
        <v>0.5</v>
      </c>
      <c r="F111">
        <v>0</v>
      </c>
      <c r="G111">
        <v>0.5</v>
      </c>
    </row>
    <row r="112" spans="1:7" x14ac:dyDescent="0.15">
      <c r="A112" t="str">
        <f>HYPERLINK("./new_k5/query_cmdrels_weight_analyze/0.1_0.8_0.1/au_359856.xlsx","au_359856")</f>
        <v>au_359856</v>
      </c>
      <c r="B112">
        <v>0.25</v>
      </c>
      <c r="C112">
        <v>0.25</v>
      </c>
      <c r="D112">
        <v>0.75</v>
      </c>
      <c r="E112">
        <v>0.5</v>
      </c>
      <c r="F112">
        <v>0.95</v>
      </c>
      <c r="G112">
        <v>0.5</v>
      </c>
    </row>
    <row r="113" spans="1:7" x14ac:dyDescent="0.15">
      <c r="A113" t="str">
        <f>HYPERLINK("./new_k5/query_cmdrels_weight_analyze/0.1_0.8_0.1/au_360423.xlsx","au_360423")</f>
        <v>au_360423</v>
      </c>
      <c r="B113">
        <v>0</v>
      </c>
      <c r="C113">
        <v>0</v>
      </c>
      <c r="D113">
        <v>0</v>
      </c>
      <c r="E113">
        <v>0.25</v>
      </c>
      <c r="F113">
        <v>0</v>
      </c>
      <c r="G113">
        <v>0.25</v>
      </c>
    </row>
    <row r="114" spans="1:7" x14ac:dyDescent="0.15">
      <c r="A114" t="str">
        <f>HYPERLINK("./new_k5/query_cmdrels_weight_analyze/0.1_0.8_0.1/au_36287.xlsx","au_36287")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15">
      <c r="A115" t="str">
        <f>HYPERLINK("./new_k5/query_cmdrels_weight_analyze/0.1_0.8_0.1/au_366742.xlsx","au_366742")</f>
        <v>au_366742</v>
      </c>
      <c r="B115">
        <v>0</v>
      </c>
      <c r="C115">
        <v>0</v>
      </c>
      <c r="D115">
        <v>0</v>
      </c>
      <c r="E115">
        <v>0.125</v>
      </c>
      <c r="F115">
        <v>0</v>
      </c>
      <c r="G115">
        <v>0.125</v>
      </c>
    </row>
    <row r="116" spans="1:7" x14ac:dyDescent="0.15">
      <c r="A116" t="str">
        <f>HYPERLINK("./new_k5/query_cmdrels_weight_analyze/0.1_0.8_0.1/au_377937.xlsx","au_377937")</f>
        <v>au_377937</v>
      </c>
      <c r="B116">
        <v>0.25</v>
      </c>
      <c r="C116">
        <v>0.25</v>
      </c>
      <c r="D116">
        <v>0.5</v>
      </c>
      <c r="E116">
        <v>0.5</v>
      </c>
      <c r="F116">
        <v>0.5</v>
      </c>
      <c r="G116">
        <v>0.5</v>
      </c>
    </row>
    <row r="117" spans="1:7" x14ac:dyDescent="0.15">
      <c r="A117" t="str">
        <f>HYPERLINK("./new_k5/query_cmdrels_weight_analyze/0.1_0.8_0.1/au_383997.xlsx","au_383997")</f>
        <v>au_383997</v>
      </c>
      <c r="B117">
        <v>0.14285714285714279</v>
      </c>
      <c r="C117">
        <v>0.14285714285714279</v>
      </c>
      <c r="D117">
        <v>0.2857142857142857</v>
      </c>
      <c r="E117">
        <v>0.2857142857142857</v>
      </c>
      <c r="F117">
        <v>0.2857142857142857</v>
      </c>
      <c r="G117">
        <v>0.2857142857142857</v>
      </c>
    </row>
    <row r="118" spans="1:7" x14ac:dyDescent="0.15">
      <c r="A118" t="str">
        <f>HYPERLINK("./new_k5/query_cmdrels_weight_analyze/0.1_0.8_0.1/au_3883.xlsx","au_3883")</f>
        <v>au_3883</v>
      </c>
      <c r="B118">
        <v>0.25</v>
      </c>
      <c r="C118">
        <v>0.25</v>
      </c>
      <c r="D118">
        <v>0.25</v>
      </c>
      <c r="E118">
        <v>0.25</v>
      </c>
      <c r="F118">
        <v>0.375</v>
      </c>
      <c r="G118">
        <v>0.35</v>
      </c>
    </row>
    <row r="119" spans="1:7" x14ac:dyDescent="0.15">
      <c r="A119" t="str">
        <f>HYPERLINK("./new_k5/query_cmdrels_weight_analyze/0.1_0.8_0.1/au_396883.xlsx","au_396883")</f>
        <v>au_396883</v>
      </c>
      <c r="B119">
        <v>0.5</v>
      </c>
      <c r="C119">
        <v>0.5</v>
      </c>
      <c r="D119">
        <v>0.5</v>
      </c>
      <c r="E119">
        <v>0.5</v>
      </c>
      <c r="F119">
        <v>0.5</v>
      </c>
      <c r="G119">
        <v>0.5</v>
      </c>
    </row>
    <row r="120" spans="1:7" x14ac:dyDescent="0.15">
      <c r="A120" t="str">
        <f>HYPERLINK("./new_k5/query_cmdrels_weight_analyze/0.1_0.8_0.1/au_39760.xlsx","au_39760")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 t="str">
        <f>HYPERLINK("./new_k5/query_cmdrels_weight_analyze/0.1_0.8_0.1/au_398818.xlsx","au_398818")</f>
        <v>au_398818</v>
      </c>
      <c r="B121">
        <v>0.5</v>
      </c>
      <c r="C121">
        <v>0.5</v>
      </c>
      <c r="D121">
        <v>0.83333333333333326</v>
      </c>
      <c r="E121">
        <v>0.83333333333333326</v>
      </c>
      <c r="F121">
        <v>0.83333333333333326</v>
      </c>
      <c r="G121">
        <v>0.83333333333333326</v>
      </c>
    </row>
    <row r="122" spans="1:7" x14ac:dyDescent="0.15">
      <c r="A122" t="str">
        <f>HYPERLINK("./new_k5/query_cmdrels_weight_analyze/0.1_0.8_0.1/au_400807.xlsx","au_400807")</f>
        <v>au_400807</v>
      </c>
      <c r="B122">
        <v>0</v>
      </c>
      <c r="C122">
        <v>0.33333333333333331</v>
      </c>
      <c r="D122">
        <v>0.16666666666666671</v>
      </c>
      <c r="E122">
        <v>0.55555555555555547</v>
      </c>
      <c r="F122">
        <v>0.16666666666666671</v>
      </c>
      <c r="G122">
        <v>0.55555555555555547</v>
      </c>
    </row>
    <row r="123" spans="1:7" x14ac:dyDescent="0.15">
      <c r="A123" t="str">
        <f>HYPERLINK("./new_k5/query_cmdrels_weight_analyze/0.1_0.8_0.1/au_408611.xlsx","au_408611")</f>
        <v>au_408611</v>
      </c>
      <c r="B123">
        <v>0.33333333333333331</v>
      </c>
      <c r="C123">
        <v>0.33333333333333331</v>
      </c>
      <c r="D123">
        <v>0.33333333333333331</v>
      </c>
      <c r="E123">
        <v>0.33333333333333331</v>
      </c>
      <c r="F123">
        <v>0.33333333333333331</v>
      </c>
      <c r="G123">
        <v>0.33333333333333331</v>
      </c>
    </row>
    <row r="124" spans="1:7" x14ac:dyDescent="0.15">
      <c r="A124" t="str">
        <f>HYPERLINK("./new_k5/query_cmdrels_weight_analyze/0.1_0.8_0.1/au_414737.xlsx","au_414737")</f>
        <v>au_414737</v>
      </c>
      <c r="B124">
        <v>0.14285714285714279</v>
      </c>
      <c r="C124">
        <v>0</v>
      </c>
      <c r="D124">
        <v>0.14285714285714279</v>
      </c>
      <c r="E124">
        <v>7.1428571428571425E-2</v>
      </c>
      <c r="F124">
        <v>0.14285714285714279</v>
      </c>
      <c r="G124">
        <v>0.14285714285714279</v>
      </c>
    </row>
    <row r="125" spans="1:7" x14ac:dyDescent="0.15">
      <c r="A125" t="str">
        <f>HYPERLINK("./new_k5/query_cmdrels_weight_analyze/0.1_0.8_0.1/au_420722.xlsx","au_420722")</f>
        <v>au_420722</v>
      </c>
      <c r="B125">
        <v>0.33333333333333331</v>
      </c>
      <c r="C125">
        <v>0.33333333333333331</v>
      </c>
      <c r="D125">
        <v>0.66666666666666663</v>
      </c>
      <c r="E125">
        <v>0.66666666666666663</v>
      </c>
      <c r="F125">
        <v>0.66666666666666663</v>
      </c>
      <c r="G125">
        <v>0.66666666666666663</v>
      </c>
    </row>
    <row r="126" spans="1:7" x14ac:dyDescent="0.15">
      <c r="A126" t="str">
        <f>HYPERLINK("./new_k5/query_cmdrels_weight_analyze/0.1_0.8_0.1/au_423942.xlsx","au_423942")</f>
        <v>au_423942</v>
      </c>
      <c r="B126">
        <v>0.33333333333333331</v>
      </c>
      <c r="C126">
        <v>0.33333333333333331</v>
      </c>
      <c r="D126">
        <v>0.66666666666666663</v>
      </c>
      <c r="E126">
        <v>0.66666666666666663</v>
      </c>
      <c r="F126">
        <v>0.8666666666666667</v>
      </c>
      <c r="G126">
        <v>0.66666666666666663</v>
      </c>
    </row>
    <row r="127" spans="1:7" x14ac:dyDescent="0.15">
      <c r="A127" t="str">
        <f>HYPERLINK("./new_k5/query_cmdrels_weight_analyze/0.1_0.8_0.1/au_430382.xlsx","au_430382")</f>
        <v>au_430382</v>
      </c>
      <c r="B127">
        <v>0</v>
      </c>
      <c r="C127">
        <v>0</v>
      </c>
      <c r="D127">
        <v>0.29166666666666657</v>
      </c>
      <c r="E127">
        <v>0</v>
      </c>
      <c r="F127">
        <v>0.29166666666666657</v>
      </c>
      <c r="G127">
        <v>0.05</v>
      </c>
    </row>
    <row r="128" spans="1:7" x14ac:dyDescent="0.15">
      <c r="A128" t="str">
        <f>HYPERLINK("./new_k5/query_cmdrels_weight_analyze/0.1_0.8_0.1/au_432836.xlsx","au_432836")</f>
        <v>au_432836</v>
      </c>
      <c r="B128">
        <v>0.14285714285714279</v>
      </c>
      <c r="C128">
        <v>0.14285714285714279</v>
      </c>
      <c r="D128">
        <v>0.14285714285714279</v>
      </c>
      <c r="E128">
        <v>0.14285714285714279</v>
      </c>
      <c r="F128">
        <v>0.2142857142857143</v>
      </c>
      <c r="G128">
        <v>0.14285714285714279</v>
      </c>
    </row>
    <row r="129" spans="1:7" x14ac:dyDescent="0.15">
      <c r="A129" t="str">
        <f>HYPERLINK("./new_k5/query_cmdrels_weight_analyze/0.1_0.8_0.1/au_440326.xlsx","au_440326")</f>
        <v>au_440326</v>
      </c>
      <c r="B129">
        <v>0.5</v>
      </c>
      <c r="C129">
        <v>0</v>
      </c>
      <c r="D129">
        <v>1</v>
      </c>
      <c r="E129">
        <v>0.58333333333333326</v>
      </c>
      <c r="F129">
        <v>1</v>
      </c>
      <c r="G129">
        <v>0.58333333333333326</v>
      </c>
    </row>
    <row r="130" spans="1:7" x14ac:dyDescent="0.15">
      <c r="A130" t="str">
        <f>HYPERLINK("./new_k5/query_cmdrels_weight_analyze/0.1_0.8_0.1/au_442914.xlsx","au_442914")</f>
        <v>au_442914</v>
      </c>
      <c r="B130">
        <v>0.33333333333333331</v>
      </c>
      <c r="C130">
        <v>0</v>
      </c>
      <c r="D130">
        <v>0.66666666666666663</v>
      </c>
      <c r="E130">
        <v>0.1111111111111111</v>
      </c>
      <c r="F130">
        <v>0.8666666666666667</v>
      </c>
      <c r="G130">
        <v>0.1111111111111111</v>
      </c>
    </row>
    <row r="131" spans="1:7" x14ac:dyDescent="0.15">
      <c r="A131" t="str">
        <f>HYPERLINK("./new_k5/query_cmdrels_weight_analyze/0.1_0.8_0.1/au_443227.xlsx","au_443227")</f>
        <v>au_443227</v>
      </c>
      <c r="B131">
        <v>0.5</v>
      </c>
      <c r="C131">
        <v>0</v>
      </c>
      <c r="D131">
        <v>0.5</v>
      </c>
      <c r="E131">
        <v>0.16666666666666671</v>
      </c>
      <c r="F131">
        <v>0.5</v>
      </c>
      <c r="G131">
        <v>0.16666666666666671</v>
      </c>
    </row>
    <row r="132" spans="1:7" x14ac:dyDescent="0.15">
      <c r="A132" t="str">
        <f>HYPERLINK("./new_k5/query_cmdrels_weight_analyze/0.1_0.8_0.1/au_44534.xlsx","au_44534")</f>
        <v>au_44534</v>
      </c>
      <c r="B132">
        <v>0</v>
      </c>
      <c r="C132">
        <v>0</v>
      </c>
      <c r="D132">
        <v>0</v>
      </c>
      <c r="E132">
        <v>0.16666666666666671</v>
      </c>
      <c r="F132">
        <v>0</v>
      </c>
      <c r="G132">
        <v>0.16666666666666671</v>
      </c>
    </row>
    <row r="133" spans="1:7" x14ac:dyDescent="0.15">
      <c r="A133" t="str">
        <f>HYPERLINK("./new_k5/query_cmdrels_weight_analyze/0.1_0.8_0.1/au_451805.xlsx","au_451805")</f>
        <v>au_451805</v>
      </c>
      <c r="B133">
        <v>0.33333333333333331</v>
      </c>
      <c r="C133">
        <v>0.33333333333333331</v>
      </c>
      <c r="D133">
        <v>0.33333333333333331</v>
      </c>
      <c r="E133">
        <v>0.33333333333333331</v>
      </c>
      <c r="F133">
        <v>0.33333333333333331</v>
      </c>
      <c r="G133">
        <v>0.33333333333333331</v>
      </c>
    </row>
    <row r="134" spans="1:7" x14ac:dyDescent="0.15">
      <c r="A134" t="str">
        <f>HYPERLINK("./new_k5/query_cmdrels_weight_analyze/0.1_0.8_0.1/au_464264.xlsx","au_464264")</f>
        <v>au_464264</v>
      </c>
      <c r="B134">
        <v>0.2</v>
      </c>
      <c r="C134">
        <v>0</v>
      </c>
      <c r="D134">
        <v>0.33333333333333331</v>
      </c>
      <c r="E134">
        <v>0</v>
      </c>
      <c r="F134">
        <v>0.48333333333333328</v>
      </c>
      <c r="G134">
        <v>0.13</v>
      </c>
    </row>
    <row r="135" spans="1:7" x14ac:dyDescent="0.15">
      <c r="A135" t="str">
        <f>HYPERLINK("./new_k5/query_cmdrels_weight_analyze/0.1_0.8_0.1/au_468808.xlsx","au_468808")</f>
        <v>au_468808</v>
      </c>
      <c r="B135">
        <v>0.2</v>
      </c>
      <c r="C135">
        <v>0</v>
      </c>
      <c r="D135">
        <v>0.4</v>
      </c>
      <c r="E135">
        <v>0.1</v>
      </c>
      <c r="F135">
        <v>0.4</v>
      </c>
      <c r="G135">
        <v>0.1</v>
      </c>
    </row>
    <row r="136" spans="1:7" x14ac:dyDescent="0.15">
      <c r="A136" t="str">
        <f>HYPERLINK("./new_k5/query_cmdrels_weight_analyze/0.1_0.8_0.1/au_469143.xlsx","au_469143")</f>
        <v>au_469143</v>
      </c>
      <c r="B136">
        <v>0.2</v>
      </c>
      <c r="C136">
        <v>0.2</v>
      </c>
      <c r="D136">
        <v>0.33333333333333331</v>
      </c>
      <c r="E136">
        <v>0.33333333333333331</v>
      </c>
      <c r="F136">
        <v>0.33333333333333331</v>
      </c>
      <c r="G136">
        <v>0.33333333333333331</v>
      </c>
    </row>
    <row r="137" spans="1:7" x14ac:dyDescent="0.15">
      <c r="A137" t="str">
        <f>HYPERLINK("./new_k5/query_cmdrels_weight_analyze/0.1_0.8_0.1/au_470237.xlsx","au_470237")</f>
        <v>au_470237</v>
      </c>
      <c r="B137">
        <v>0.2</v>
      </c>
      <c r="C137">
        <v>0.2</v>
      </c>
      <c r="D137">
        <v>0.2</v>
      </c>
      <c r="E137">
        <v>0.33333333333333331</v>
      </c>
      <c r="F137">
        <v>0.2</v>
      </c>
      <c r="G137">
        <v>0.33333333333333331</v>
      </c>
    </row>
    <row r="138" spans="1:7" x14ac:dyDescent="0.15">
      <c r="A138" t="str">
        <f>HYPERLINK("./new_k5/query_cmdrels_weight_analyze/0.1_0.8_0.1/au_473037.xlsx","au_473037")</f>
        <v>au_473037</v>
      </c>
      <c r="B138">
        <v>0.5</v>
      </c>
      <c r="C138">
        <v>0.5</v>
      </c>
      <c r="D138">
        <v>0.83333333333333326</v>
      </c>
      <c r="E138">
        <v>0.5</v>
      </c>
      <c r="F138">
        <v>0.83333333333333326</v>
      </c>
      <c r="G138">
        <v>0.5</v>
      </c>
    </row>
    <row r="139" spans="1:7" x14ac:dyDescent="0.15">
      <c r="A139" t="str">
        <f>HYPERLINK("./new_k5/query_cmdrels_weight_analyze/0.1_0.8_0.1/au_48362.xlsx","au_48362")</f>
        <v>au_48362</v>
      </c>
      <c r="B139">
        <v>0.25</v>
      </c>
      <c r="C139">
        <v>0.25</v>
      </c>
      <c r="D139">
        <v>0.5</v>
      </c>
      <c r="E139">
        <v>0.75</v>
      </c>
      <c r="F139">
        <v>0.5</v>
      </c>
      <c r="G139">
        <v>0.75</v>
      </c>
    </row>
    <row r="140" spans="1:7" x14ac:dyDescent="0.15">
      <c r="A140" t="str">
        <f>HYPERLINK("./new_k5/query_cmdrels_weight_analyze/0.1_0.8_0.1/au_488435.xlsx","au_488435")</f>
        <v>au_488435</v>
      </c>
      <c r="B140">
        <v>0</v>
      </c>
      <c r="C140">
        <v>0</v>
      </c>
      <c r="D140">
        <v>0.125</v>
      </c>
      <c r="E140">
        <v>0.125</v>
      </c>
      <c r="F140">
        <v>0.25</v>
      </c>
      <c r="G140">
        <v>0.125</v>
      </c>
    </row>
    <row r="141" spans="1:7" x14ac:dyDescent="0.15">
      <c r="A141" t="str">
        <f>HYPERLINK("./new_k5/query_cmdrels_weight_analyze/0.1_0.8_0.1/au_493826.xlsx","au_493826")</f>
        <v>au_493826</v>
      </c>
      <c r="B141">
        <v>0.14285714285714279</v>
      </c>
      <c r="C141">
        <v>0.14285714285714279</v>
      </c>
      <c r="D141">
        <v>0.14285714285714279</v>
      </c>
      <c r="E141">
        <v>0.23809523809523811</v>
      </c>
      <c r="F141">
        <v>0.14285714285714279</v>
      </c>
      <c r="G141">
        <v>0.23809523809523811</v>
      </c>
    </row>
    <row r="142" spans="1:7" x14ac:dyDescent="0.15">
      <c r="A142" t="str">
        <f>HYPERLINK("./new_k5/query_cmdrels_weight_analyze/0.1_0.8_0.1/au_502110.xlsx","au_502110")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15">
      <c r="A143" t="str">
        <f>HYPERLINK("./new_k5/query_cmdrels_weight_analyze/0.1_0.8_0.1/au_50344.xlsx","au_50344")</f>
        <v>au_50344</v>
      </c>
      <c r="B143">
        <v>0</v>
      </c>
      <c r="C143">
        <v>0.25</v>
      </c>
      <c r="D143">
        <v>0.29166666666666657</v>
      </c>
      <c r="E143">
        <v>0.25</v>
      </c>
      <c r="F143">
        <v>0.29166666666666657</v>
      </c>
      <c r="G143">
        <v>0.25</v>
      </c>
    </row>
    <row r="144" spans="1:7" x14ac:dyDescent="0.15">
      <c r="A144" t="str">
        <f>HYPERLINK("./new_k5/query_cmdrels_weight_analyze/0.1_0.8_0.1/au_511467.xlsx","au_511467")</f>
        <v>au_511467</v>
      </c>
      <c r="B144">
        <v>0</v>
      </c>
      <c r="C144">
        <v>0.16666666666666671</v>
      </c>
      <c r="D144">
        <v>0.19444444444444439</v>
      </c>
      <c r="E144">
        <v>0.16666666666666671</v>
      </c>
      <c r="F144">
        <v>0.19444444444444439</v>
      </c>
      <c r="G144">
        <v>0.16666666666666671</v>
      </c>
    </row>
    <row r="145" spans="1:7" x14ac:dyDescent="0.15">
      <c r="A145" t="str">
        <f>HYPERLINK("./new_k5/query_cmdrels_weight_analyze/0.1_0.8_0.1/au_513046.xlsx","au_513046")</f>
        <v>au_513046</v>
      </c>
      <c r="B145">
        <v>0.25</v>
      </c>
      <c r="C145">
        <v>0</v>
      </c>
      <c r="D145">
        <v>0.5</v>
      </c>
      <c r="E145">
        <v>8.3333333333333329E-2</v>
      </c>
      <c r="F145">
        <v>0.5</v>
      </c>
      <c r="G145">
        <v>0.35833333333333328</v>
      </c>
    </row>
    <row r="146" spans="1:7" x14ac:dyDescent="0.15">
      <c r="A146" t="str">
        <f>HYPERLINK("./new_k5/query_cmdrels_weight_analyze/0.1_0.8_0.1/au_517354.xlsx","au_517354")</f>
        <v>au_517354</v>
      </c>
      <c r="B146">
        <v>0.14285714285714279</v>
      </c>
      <c r="C146">
        <v>0.14285714285714279</v>
      </c>
      <c r="D146">
        <v>0.14285714285714279</v>
      </c>
      <c r="E146">
        <v>0.23809523809523811</v>
      </c>
      <c r="F146">
        <v>0.2142857142857143</v>
      </c>
      <c r="G146">
        <v>0.34523809523809518</v>
      </c>
    </row>
    <row r="147" spans="1:7" x14ac:dyDescent="0.15">
      <c r="A147" t="str">
        <f>HYPERLINK("./new_k5/query_cmdrels_weight_analyze/0.1_0.8_0.1/au_522431.xlsx","au_522431")</f>
        <v>au_522431</v>
      </c>
      <c r="B147">
        <v>0</v>
      </c>
      <c r="C147">
        <v>0.2</v>
      </c>
      <c r="D147">
        <v>0.23333333333333331</v>
      </c>
      <c r="E147">
        <v>0.6</v>
      </c>
      <c r="F147">
        <v>0.54333333333333333</v>
      </c>
      <c r="G147">
        <v>0.6</v>
      </c>
    </row>
    <row r="148" spans="1:7" x14ac:dyDescent="0.15">
      <c r="A148" t="str">
        <f>HYPERLINK("./new_k5/query_cmdrels_weight_analyze/0.1_0.8_0.1/au_52773.xlsx","au_52773")</f>
        <v>au_52773</v>
      </c>
      <c r="B148">
        <v>0</v>
      </c>
      <c r="C148">
        <v>0</v>
      </c>
      <c r="D148">
        <v>0.23333333333333331</v>
      </c>
      <c r="E148">
        <v>0.1</v>
      </c>
      <c r="F148">
        <v>0.23333333333333331</v>
      </c>
      <c r="G148">
        <v>0.1</v>
      </c>
    </row>
    <row r="149" spans="1:7" x14ac:dyDescent="0.15">
      <c r="A149" t="str">
        <f>HYPERLINK("./new_k5/query_cmdrels_weight_analyze/0.1_0.8_0.1/au_528411.xlsx","au_528411")</f>
        <v>au_528411</v>
      </c>
      <c r="B149">
        <v>0</v>
      </c>
      <c r="C149">
        <v>0</v>
      </c>
      <c r="D149">
        <v>0</v>
      </c>
      <c r="E149">
        <v>0.16666666666666671</v>
      </c>
      <c r="F149">
        <v>0</v>
      </c>
      <c r="G149">
        <v>0.16666666666666671</v>
      </c>
    </row>
    <row r="150" spans="1:7" x14ac:dyDescent="0.15">
      <c r="A150" t="str">
        <f>HYPERLINK("./new_k5/query_cmdrels_weight_analyze/0.1_0.8_0.1/au_53263.xlsx","au_53263")</f>
        <v>au_53263</v>
      </c>
      <c r="B150">
        <v>0.25</v>
      </c>
      <c r="C150">
        <v>0</v>
      </c>
      <c r="D150">
        <v>0.75</v>
      </c>
      <c r="E150">
        <v>0.29166666666666657</v>
      </c>
      <c r="F150">
        <v>0.75</v>
      </c>
      <c r="G150">
        <v>0.29166666666666657</v>
      </c>
    </row>
    <row r="151" spans="1:7" x14ac:dyDescent="0.15">
      <c r="A151" t="str">
        <f>HYPERLINK("./new_k5/query_cmdrels_weight_analyze/0.1_0.8_0.1/au_53444.xlsx","au_53444")</f>
        <v>au_53444</v>
      </c>
      <c r="B151">
        <v>0.5</v>
      </c>
      <c r="C151">
        <v>0</v>
      </c>
      <c r="D151">
        <v>0.5</v>
      </c>
      <c r="E151">
        <v>0</v>
      </c>
      <c r="F151">
        <v>0.5</v>
      </c>
      <c r="G151">
        <v>0.1</v>
      </c>
    </row>
    <row r="152" spans="1:7" x14ac:dyDescent="0.15">
      <c r="A152" t="str">
        <f>HYPERLINK("./new_k5/query_cmdrels_weight_analyze/0.1_0.8_0.1/au_538208.xlsx","au_538208")</f>
        <v>au_538208</v>
      </c>
      <c r="B152">
        <v>0.125</v>
      </c>
      <c r="C152">
        <v>0.125</v>
      </c>
      <c r="D152">
        <v>0.375</v>
      </c>
      <c r="E152">
        <v>0.375</v>
      </c>
      <c r="F152">
        <v>0.5</v>
      </c>
      <c r="G152">
        <v>0.625</v>
      </c>
    </row>
    <row r="153" spans="1:7" x14ac:dyDescent="0.15">
      <c r="A153" t="str">
        <f>HYPERLINK("./new_k5/query_cmdrels_weight_analyze/0.1_0.8_0.1/au_53822.xlsx","au_53822")</f>
        <v>au_53822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</row>
    <row r="154" spans="1:7" x14ac:dyDescent="0.15">
      <c r="A154" t="str">
        <f>HYPERLINK("./new_k5/query_cmdrels_weight_analyze/0.1_0.8_0.1/au_539243.xlsx","au_539243")</f>
        <v>au_539243</v>
      </c>
      <c r="B154">
        <v>0.33333333333333331</v>
      </c>
      <c r="C154">
        <v>0</v>
      </c>
      <c r="D154">
        <v>0.66666666666666663</v>
      </c>
      <c r="E154">
        <v>0.16666666666666671</v>
      </c>
      <c r="F154">
        <v>0.66666666666666663</v>
      </c>
      <c r="G154">
        <v>0.33333333333333331</v>
      </c>
    </row>
    <row r="155" spans="1:7" x14ac:dyDescent="0.15">
      <c r="A155" t="str">
        <f>HYPERLINK("./new_k5/query_cmdrels_weight_analyze/0.1_0.8_0.1/au_558280.xlsx","au_558280")</f>
        <v>au_558280</v>
      </c>
      <c r="B155">
        <v>0.33333333333333331</v>
      </c>
      <c r="C155">
        <v>0</v>
      </c>
      <c r="D155">
        <v>0.66666666666666663</v>
      </c>
      <c r="E155">
        <v>0.38888888888888878</v>
      </c>
      <c r="F155">
        <v>0.66666666666666663</v>
      </c>
      <c r="G155">
        <v>0.38888888888888878</v>
      </c>
    </row>
    <row r="156" spans="1:7" x14ac:dyDescent="0.15">
      <c r="A156" t="str">
        <f>HYPERLINK("./new_k5/query_cmdrels_weight_analyze/0.1_0.8_0.1/au_558669.xlsx","au_558669")</f>
        <v>au_558669</v>
      </c>
      <c r="B156">
        <v>0</v>
      </c>
      <c r="C156">
        <v>1</v>
      </c>
      <c r="D156">
        <v>0.5</v>
      </c>
      <c r="E156">
        <v>1</v>
      </c>
      <c r="F156">
        <v>0.5</v>
      </c>
      <c r="G156">
        <v>1</v>
      </c>
    </row>
    <row r="157" spans="1:7" x14ac:dyDescent="0.15">
      <c r="A157" t="str">
        <f>HYPERLINK("./new_k5/query_cmdrels_weight_analyze/0.1_0.8_0.1/au_55868.xlsx","au_55868")</f>
        <v>au_55868</v>
      </c>
      <c r="B157">
        <v>0</v>
      </c>
      <c r="C157">
        <v>0</v>
      </c>
      <c r="D157">
        <v>5.5555555555555552E-2</v>
      </c>
      <c r="E157">
        <v>0.12962962962962959</v>
      </c>
      <c r="F157">
        <v>0.1111111111111111</v>
      </c>
      <c r="G157">
        <v>0.30185185185185193</v>
      </c>
    </row>
    <row r="158" spans="1:7" x14ac:dyDescent="0.15">
      <c r="A158" t="str">
        <f>HYPERLINK("./new_k5/query_cmdrels_weight_analyze/0.1_0.8_0.1/au_561.xlsx","au_561")</f>
        <v>au_561</v>
      </c>
      <c r="B158">
        <v>0.25</v>
      </c>
      <c r="C158">
        <v>0.25</v>
      </c>
      <c r="D158">
        <v>0.25</v>
      </c>
      <c r="E158">
        <v>0.5</v>
      </c>
      <c r="F158">
        <v>0.25</v>
      </c>
      <c r="G158">
        <v>0.65</v>
      </c>
    </row>
    <row r="159" spans="1:7" x14ac:dyDescent="0.15">
      <c r="A159" t="str">
        <f>HYPERLINK("./new_k5/query_cmdrels_weight_analyze/0.1_0.8_0.1/au_564567.xlsx","au_564567")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15">
      <c r="A160" t="str">
        <f>HYPERLINK("./new_k5/query_cmdrels_weight_analyze/0.1_0.8_0.1/au_57994.xlsx","au_57994")</f>
        <v>au_57994</v>
      </c>
      <c r="B160">
        <v>0.14285714285714279</v>
      </c>
      <c r="C160">
        <v>0.14285714285714279</v>
      </c>
      <c r="D160">
        <v>0.42857142857142849</v>
      </c>
      <c r="E160">
        <v>0.23809523809523811</v>
      </c>
      <c r="F160">
        <v>0.5714285714285714</v>
      </c>
      <c r="G160">
        <v>0.23809523809523811</v>
      </c>
    </row>
    <row r="161" spans="1:7" x14ac:dyDescent="0.15">
      <c r="A161" t="str">
        <f>HYPERLINK("./new_k5/query_cmdrels_weight_analyze/0.1_0.8_0.1/au_589210.xlsx","au_589210")</f>
        <v>au_589210</v>
      </c>
      <c r="B161">
        <v>0.25</v>
      </c>
      <c r="C161">
        <v>0.25</v>
      </c>
      <c r="D161">
        <v>0.5</v>
      </c>
      <c r="E161">
        <v>0.25</v>
      </c>
      <c r="F161">
        <v>0.5</v>
      </c>
      <c r="G161">
        <v>0.35</v>
      </c>
    </row>
    <row r="162" spans="1:7" x14ac:dyDescent="0.15">
      <c r="A162" t="str">
        <f>HYPERLINK("./new_k5/query_cmdrels_weight_analyze/0.1_0.8_0.1/au_5911.xlsx","au_5911")</f>
        <v>au_5911</v>
      </c>
      <c r="B162">
        <v>1</v>
      </c>
      <c r="C162">
        <v>0</v>
      </c>
      <c r="D162">
        <v>1</v>
      </c>
      <c r="E162">
        <v>0.5</v>
      </c>
      <c r="F162">
        <v>1</v>
      </c>
      <c r="G162">
        <v>0.5</v>
      </c>
    </row>
    <row r="163" spans="1:7" x14ac:dyDescent="0.15">
      <c r="A163" t="str">
        <f>HYPERLINK("./new_k5/query_cmdrels_weight_analyze/0.1_0.8_0.1/au_59356.xlsx","au_59356")</f>
        <v>au_59356</v>
      </c>
      <c r="B163">
        <v>0</v>
      </c>
      <c r="C163">
        <v>0</v>
      </c>
      <c r="D163">
        <v>0.16666666666666671</v>
      </c>
      <c r="E163">
        <v>0</v>
      </c>
      <c r="F163">
        <v>0.16666666666666671</v>
      </c>
      <c r="G163">
        <v>0</v>
      </c>
    </row>
    <row r="164" spans="1:7" x14ac:dyDescent="0.15">
      <c r="A164" t="str">
        <f>HYPERLINK("./new_k5/query_cmdrels_weight_analyze/0.1_0.8_0.1/au_609850.xlsx","au_609850")</f>
        <v>au_609850</v>
      </c>
      <c r="B164">
        <v>0.5</v>
      </c>
      <c r="C164">
        <v>0</v>
      </c>
      <c r="D164">
        <v>0.5</v>
      </c>
      <c r="E164">
        <v>0.25</v>
      </c>
      <c r="F164">
        <v>0.5</v>
      </c>
      <c r="G164">
        <v>0.25</v>
      </c>
    </row>
    <row r="165" spans="1:7" x14ac:dyDescent="0.15">
      <c r="A165" t="str">
        <f>HYPERLINK("./new_k5/query_cmdrels_weight_analyze/0.1_0.8_0.1/au_61408.xlsx","au_61408")</f>
        <v>au_61408</v>
      </c>
      <c r="B165">
        <v>0</v>
      </c>
      <c r="C165">
        <v>0</v>
      </c>
      <c r="D165">
        <v>0.16666666666666671</v>
      </c>
      <c r="E165">
        <v>0.16666666666666671</v>
      </c>
      <c r="F165">
        <v>0.16666666666666671</v>
      </c>
      <c r="G165">
        <v>0.16666666666666671</v>
      </c>
    </row>
    <row r="166" spans="1:7" x14ac:dyDescent="0.15">
      <c r="A166" t="str">
        <f>HYPERLINK("./new_k5/query_cmdrels_weight_analyze/0.1_0.8_0.1/au_617850.xlsx","au_617850")</f>
        <v>au_617850</v>
      </c>
      <c r="B166">
        <v>0.33333333333333331</v>
      </c>
      <c r="C166">
        <v>0.33333333333333331</v>
      </c>
      <c r="D166">
        <v>0.66666666666666663</v>
      </c>
      <c r="E166">
        <v>0.66666666666666663</v>
      </c>
      <c r="F166">
        <v>0.91666666666666663</v>
      </c>
      <c r="G166">
        <v>0.91666666666666663</v>
      </c>
    </row>
    <row r="167" spans="1:7" x14ac:dyDescent="0.15">
      <c r="A167" t="str">
        <f>HYPERLINK("./new_k5/query_cmdrels_weight_analyze/0.1_0.8_0.1/au_62073.xlsx","au_62073")</f>
        <v>au_62073</v>
      </c>
      <c r="B167">
        <v>0</v>
      </c>
      <c r="C167">
        <v>0.2</v>
      </c>
      <c r="D167">
        <v>0.23333333333333331</v>
      </c>
      <c r="E167">
        <v>0.33333333333333331</v>
      </c>
      <c r="F167">
        <v>0.23333333333333331</v>
      </c>
      <c r="G167">
        <v>0.45333333333333331</v>
      </c>
    </row>
    <row r="168" spans="1:7" x14ac:dyDescent="0.15">
      <c r="A168" t="str">
        <f>HYPERLINK("./new_k5/query_cmdrels_weight_analyze/0.1_0.8_0.1/au_620930.xlsx","au_620930")</f>
        <v>au_620930</v>
      </c>
      <c r="B168">
        <v>0.2</v>
      </c>
      <c r="C168">
        <v>0.2</v>
      </c>
      <c r="D168">
        <v>0.4</v>
      </c>
      <c r="E168">
        <v>0.33333333333333331</v>
      </c>
      <c r="F168">
        <v>0.4</v>
      </c>
      <c r="G168">
        <v>0.45333333333333331</v>
      </c>
    </row>
    <row r="169" spans="1:7" x14ac:dyDescent="0.15">
      <c r="A169" t="str">
        <f>HYPERLINK("./new_k5/query_cmdrels_weight_analyze/0.1_0.8_0.1/au_62492.xlsx","au_62492")</f>
        <v>au_62492</v>
      </c>
      <c r="B169">
        <v>0.2</v>
      </c>
      <c r="C169">
        <v>0.2</v>
      </c>
      <c r="D169">
        <v>0.33333333333333331</v>
      </c>
      <c r="E169">
        <v>0.6</v>
      </c>
      <c r="F169">
        <v>0.48333333333333328</v>
      </c>
      <c r="G169">
        <v>0.6</v>
      </c>
    </row>
    <row r="170" spans="1:7" x14ac:dyDescent="0.15">
      <c r="A170" t="str">
        <f>HYPERLINK("./new_k5/query_cmdrels_weight_analyze/0.1_0.8_0.1/au_626078.xlsx","au_626078")</f>
        <v>au_626078</v>
      </c>
      <c r="B170">
        <v>0.33333333333333331</v>
      </c>
      <c r="C170">
        <v>0</v>
      </c>
      <c r="D170">
        <v>0.66666666666666663</v>
      </c>
      <c r="E170">
        <v>0</v>
      </c>
      <c r="F170">
        <v>0.66666666666666663</v>
      </c>
      <c r="G170">
        <v>0</v>
      </c>
    </row>
    <row r="171" spans="1:7" x14ac:dyDescent="0.15">
      <c r="A171" t="str">
        <f>HYPERLINK("./new_k5/query_cmdrels_weight_analyze/0.1_0.8_0.1/au_636944.xlsx","au_636944")</f>
        <v>au_636944</v>
      </c>
      <c r="B171">
        <v>0.33333333333333331</v>
      </c>
      <c r="C171">
        <v>0</v>
      </c>
      <c r="D171">
        <v>0.33333333333333331</v>
      </c>
      <c r="E171">
        <v>0.16666666666666671</v>
      </c>
      <c r="F171">
        <v>0.46666666666666662</v>
      </c>
      <c r="G171">
        <v>0.16666666666666671</v>
      </c>
    </row>
    <row r="172" spans="1:7" x14ac:dyDescent="0.15">
      <c r="A172" t="str">
        <f>HYPERLINK("./new_k5/query_cmdrels_weight_analyze/0.1_0.8_0.1/au_648603.xlsx","au_648603")</f>
        <v>au_648603</v>
      </c>
      <c r="B172">
        <v>0.25</v>
      </c>
      <c r="C172">
        <v>0.25</v>
      </c>
      <c r="D172">
        <v>0.25</v>
      </c>
      <c r="E172">
        <v>0.25</v>
      </c>
      <c r="F172">
        <v>0.25</v>
      </c>
      <c r="G172">
        <v>0.25</v>
      </c>
    </row>
    <row r="173" spans="1:7" x14ac:dyDescent="0.15">
      <c r="A173" t="str">
        <f>HYPERLINK("./new_k5/query_cmdrels_weight_analyze/0.1_0.8_0.1/au_65331.xlsx","au_65331")</f>
        <v>au_65331</v>
      </c>
      <c r="B173">
        <v>0</v>
      </c>
      <c r="C173">
        <v>0.16666666666666671</v>
      </c>
      <c r="D173">
        <v>8.3333333333333329E-2</v>
      </c>
      <c r="E173">
        <v>0.27777777777777768</v>
      </c>
      <c r="F173">
        <v>0.16666666666666671</v>
      </c>
      <c r="G173">
        <v>0.27777777777777768</v>
      </c>
    </row>
    <row r="174" spans="1:7" x14ac:dyDescent="0.15">
      <c r="A174" t="str">
        <f>HYPERLINK("./new_k5/query_cmdrels_weight_analyze/0.1_0.8_0.1/au_66000.xlsx","au_66000")</f>
        <v>au_66000</v>
      </c>
      <c r="B174">
        <v>0</v>
      </c>
      <c r="C174">
        <v>0.2</v>
      </c>
      <c r="D174">
        <v>0</v>
      </c>
      <c r="E174">
        <v>0.2</v>
      </c>
      <c r="F174">
        <v>0</v>
      </c>
      <c r="G174">
        <v>0.42</v>
      </c>
    </row>
    <row r="175" spans="1:7" x14ac:dyDescent="0.15">
      <c r="A175" t="str">
        <f>HYPERLINK("./new_k5/query_cmdrels_weight_analyze/0.1_0.8_0.1/au_660846.xlsx","au_660846")</f>
        <v>au_660846</v>
      </c>
      <c r="B175">
        <v>0.25</v>
      </c>
      <c r="C175">
        <v>0.25</v>
      </c>
      <c r="D175">
        <v>0.5</v>
      </c>
      <c r="E175">
        <v>0.75</v>
      </c>
      <c r="F175">
        <v>0.65</v>
      </c>
      <c r="G175">
        <v>1</v>
      </c>
    </row>
    <row r="176" spans="1:7" x14ac:dyDescent="0.15">
      <c r="A176" t="str">
        <f>HYPERLINK("./new_k5/query_cmdrels_weight_analyze/0.1_0.8_0.1/au_662935.xlsx","au_662935")</f>
        <v>au_662935</v>
      </c>
      <c r="B176">
        <v>0.125</v>
      </c>
      <c r="C176">
        <v>0.125</v>
      </c>
      <c r="D176">
        <v>0.125</v>
      </c>
      <c r="E176">
        <v>0.375</v>
      </c>
      <c r="F176">
        <v>0.125</v>
      </c>
      <c r="G176">
        <v>0.375</v>
      </c>
    </row>
    <row r="177" spans="1:7" x14ac:dyDescent="0.15">
      <c r="A177" t="str">
        <f>HYPERLINK("./new_k5/query_cmdrels_weight_analyze/0.1_0.8_0.1/au_67663.xlsx","au_67663")</f>
        <v>au_67663</v>
      </c>
      <c r="B177">
        <v>0</v>
      </c>
      <c r="C177">
        <v>0.25</v>
      </c>
      <c r="D177">
        <v>0.29166666666666657</v>
      </c>
      <c r="E177">
        <v>0.5</v>
      </c>
      <c r="F177">
        <v>0.29166666666666657</v>
      </c>
      <c r="G177">
        <v>0.5</v>
      </c>
    </row>
    <row r="178" spans="1:7" x14ac:dyDescent="0.15">
      <c r="A178" t="str">
        <f>HYPERLINK("./new_k5/query_cmdrels_weight_analyze/0.1_0.8_0.1/au_68028.xlsx","au_68028")</f>
        <v>au_68028</v>
      </c>
      <c r="B178">
        <v>0.14285714285714279</v>
      </c>
      <c r="C178">
        <v>0.14285714285714279</v>
      </c>
      <c r="D178">
        <v>0.2857142857142857</v>
      </c>
      <c r="E178">
        <v>0.42857142857142849</v>
      </c>
      <c r="F178">
        <v>0.37142857142857139</v>
      </c>
      <c r="G178">
        <v>0.42857142857142849</v>
      </c>
    </row>
    <row r="179" spans="1:7" x14ac:dyDescent="0.15">
      <c r="A179" t="str">
        <f>HYPERLINK("./new_k5/query_cmdrels_weight_analyze/0.1_0.8_0.1/au_681312.xlsx","au_681312")</f>
        <v>au_681312</v>
      </c>
      <c r="B179">
        <v>0.14285714285714279</v>
      </c>
      <c r="C179">
        <v>0.14285714285714279</v>
      </c>
      <c r="D179">
        <v>0.42857142857142849</v>
      </c>
      <c r="E179">
        <v>0.23809523809523811</v>
      </c>
      <c r="F179">
        <v>0.42857142857142849</v>
      </c>
      <c r="G179">
        <v>0.34523809523809518</v>
      </c>
    </row>
    <row r="180" spans="1:7" x14ac:dyDescent="0.15">
      <c r="A180" t="str">
        <f>HYPERLINK("./new_k5/query_cmdrels_weight_analyze/0.1_0.8_0.1/au_686239.xlsx","au_686239")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15">
      <c r="A181" t="str">
        <f>HYPERLINK("./new_k5/query_cmdrels_weight_analyze/0.1_0.8_0.1/au_68809.xlsx","au_68809")</f>
        <v>au_68809</v>
      </c>
      <c r="B181">
        <v>0.125</v>
      </c>
      <c r="C181">
        <v>0.125</v>
      </c>
      <c r="D181">
        <v>0.20833333333333329</v>
      </c>
      <c r="E181">
        <v>0.20833333333333329</v>
      </c>
      <c r="F181">
        <v>0.28333333333333333</v>
      </c>
      <c r="G181">
        <v>0.28333333333333333</v>
      </c>
    </row>
    <row r="182" spans="1:7" x14ac:dyDescent="0.15">
      <c r="A182" t="str">
        <f>HYPERLINK("./new_k5/query_cmdrels_weight_analyze/0.1_0.8_0.1/au_69556.xlsx","au_69556")</f>
        <v>au_69556</v>
      </c>
      <c r="B182">
        <v>0.5</v>
      </c>
      <c r="C182">
        <v>0</v>
      </c>
      <c r="D182">
        <v>0.5</v>
      </c>
      <c r="E182">
        <v>0</v>
      </c>
      <c r="F182">
        <v>0.5</v>
      </c>
      <c r="G182">
        <v>0</v>
      </c>
    </row>
    <row r="183" spans="1:7" x14ac:dyDescent="0.15">
      <c r="A183" t="str">
        <f>HYPERLINK("./new_k5/query_cmdrels_weight_analyze/0.1_0.8_0.1/au_698993.xlsx","au_698993")</f>
        <v>au_698993</v>
      </c>
      <c r="B183">
        <v>0.16666666666666671</v>
      </c>
      <c r="C183">
        <v>0.16666666666666671</v>
      </c>
      <c r="D183">
        <v>0.5</v>
      </c>
      <c r="E183">
        <v>0.5</v>
      </c>
      <c r="F183">
        <v>0.5</v>
      </c>
      <c r="G183">
        <v>0.6333333333333333</v>
      </c>
    </row>
    <row r="184" spans="1:7" x14ac:dyDescent="0.15">
      <c r="A184" t="str">
        <f>HYPERLINK("./new_k5/query_cmdrels_weight_analyze/0.1_0.8_0.1/au_707881.xlsx","au_707881")</f>
        <v>au_707881</v>
      </c>
      <c r="B184">
        <v>0.16666666666666671</v>
      </c>
      <c r="C184">
        <v>0.16666666666666671</v>
      </c>
      <c r="D184">
        <v>0.16666666666666671</v>
      </c>
      <c r="E184">
        <v>0.16666666666666671</v>
      </c>
      <c r="F184">
        <v>0.35</v>
      </c>
      <c r="G184">
        <v>0.23333333333333331</v>
      </c>
    </row>
    <row r="185" spans="1:7" x14ac:dyDescent="0.15">
      <c r="A185" t="str">
        <f>HYPERLINK("./new_k5/query_cmdrels_weight_analyze/0.1_0.8_0.1/au_709594.xlsx","au_709594")</f>
        <v>au_709594</v>
      </c>
      <c r="B185">
        <v>0.33333333333333331</v>
      </c>
      <c r="C185">
        <v>0.33333333333333331</v>
      </c>
      <c r="D185">
        <v>0.66666666666666663</v>
      </c>
      <c r="E185">
        <v>0.55555555555555547</v>
      </c>
      <c r="F185">
        <v>0.91666666666666663</v>
      </c>
      <c r="G185">
        <v>0.55555555555555547</v>
      </c>
    </row>
    <row r="186" spans="1:7" x14ac:dyDescent="0.15">
      <c r="A186" t="str">
        <f>HYPERLINK("./new_k5/query_cmdrels_weight_analyze/0.1_0.8_0.1/au_71309.xlsx","au_71309")</f>
        <v>au_71309</v>
      </c>
      <c r="B186">
        <v>0.125</v>
      </c>
      <c r="C186">
        <v>0.125</v>
      </c>
      <c r="D186">
        <v>0.20833333333333329</v>
      </c>
      <c r="E186">
        <v>0.20833333333333329</v>
      </c>
      <c r="F186">
        <v>0.20833333333333329</v>
      </c>
      <c r="G186">
        <v>0.40208333333333329</v>
      </c>
    </row>
    <row r="187" spans="1:7" x14ac:dyDescent="0.15">
      <c r="A187" t="str">
        <f>HYPERLINK("./new_k5/query_cmdrels_weight_analyze/0.1_0.8_0.1/au_7138.xlsx","au_7138")</f>
        <v>au_7138</v>
      </c>
      <c r="B187">
        <v>0.25</v>
      </c>
      <c r="C187">
        <v>0</v>
      </c>
      <c r="D187">
        <v>0.75</v>
      </c>
      <c r="E187">
        <v>0</v>
      </c>
      <c r="F187">
        <v>0.75</v>
      </c>
      <c r="G187">
        <v>0</v>
      </c>
    </row>
    <row r="188" spans="1:7" x14ac:dyDescent="0.15">
      <c r="A188" t="str">
        <f>HYPERLINK("./new_k5/query_cmdrels_weight_analyze/0.1_0.8_0.1/au_72549.xlsx","au_72549")</f>
        <v>au_72549</v>
      </c>
      <c r="B188">
        <v>0</v>
      </c>
      <c r="C188">
        <v>0.25</v>
      </c>
      <c r="D188">
        <v>0</v>
      </c>
      <c r="E188">
        <v>0.25</v>
      </c>
      <c r="F188">
        <v>0</v>
      </c>
      <c r="G188">
        <v>0.25</v>
      </c>
    </row>
    <row r="189" spans="1:7" x14ac:dyDescent="0.15">
      <c r="A189" t="str">
        <f>HYPERLINK("./new_k5/query_cmdrels_weight_analyze/0.1_0.8_0.1/au_740805.xlsx","au_740805")</f>
        <v>au_740805</v>
      </c>
      <c r="B189">
        <v>0.25</v>
      </c>
      <c r="C189">
        <v>0</v>
      </c>
      <c r="D189">
        <v>0.41666666666666657</v>
      </c>
      <c r="E189">
        <v>8.3333333333333329E-2</v>
      </c>
      <c r="F189">
        <v>0.41666666666666657</v>
      </c>
      <c r="G189">
        <v>0.20833333333333329</v>
      </c>
    </row>
    <row r="190" spans="1:7" x14ac:dyDescent="0.15">
      <c r="A190" t="str">
        <f>HYPERLINK("./new_k5/query_cmdrels_weight_analyze/0.1_0.8_0.1/au_760796.xlsx","au_760796")</f>
        <v>au_760796</v>
      </c>
      <c r="B190">
        <v>0.1</v>
      </c>
      <c r="C190">
        <v>0.1</v>
      </c>
      <c r="D190">
        <v>0.3</v>
      </c>
      <c r="E190">
        <v>0.3</v>
      </c>
      <c r="F190">
        <v>0.38</v>
      </c>
      <c r="G190">
        <v>0.5</v>
      </c>
    </row>
    <row r="191" spans="1:7" x14ac:dyDescent="0.15">
      <c r="A191" t="str">
        <f>HYPERLINK("./new_k5/query_cmdrels_weight_analyze/0.1_0.8_0.1/au_762846.xlsx","au_762846")</f>
        <v>au_762846</v>
      </c>
      <c r="B191">
        <v>0.16666666666666671</v>
      </c>
      <c r="C191">
        <v>0</v>
      </c>
      <c r="D191">
        <v>0.5</v>
      </c>
      <c r="E191">
        <v>5.5555555555555552E-2</v>
      </c>
      <c r="F191">
        <v>0.6333333333333333</v>
      </c>
      <c r="G191">
        <v>5.5555555555555552E-2</v>
      </c>
    </row>
    <row r="192" spans="1:7" x14ac:dyDescent="0.15">
      <c r="A192" t="str">
        <f>HYPERLINK("./new_k5/query_cmdrels_weight_analyze/0.1_0.8_0.1/au_767786.xlsx","au_767786")</f>
        <v>au_767786</v>
      </c>
      <c r="B192">
        <v>0.2</v>
      </c>
      <c r="C192">
        <v>0.2</v>
      </c>
      <c r="D192">
        <v>0.4</v>
      </c>
      <c r="E192">
        <v>0.6</v>
      </c>
      <c r="F192">
        <v>0.4</v>
      </c>
      <c r="G192">
        <v>0.76</v>
      </c>
    </row>
    <row r="193" spans="1:7" x14ac:dyDescent="0.15">
      <c r="A193" t="str">
        <f>HYPERLINK("./new_k5/query_cmdrels_weight_analyze/0.1_0.8_0.1/au_778906.xlsx","au_778906")</f>
        <v>au_778906</v>
      </c>
      <c r="B193">
        <v>0.2</v>
      </c>
      <c r="C193">
        <v>0.2</v>
      </c>
      <c r="D193">
        <v>0.33333333333333331</v>
      </c>
      <c r="E193">
        <v>0.6</v>
      </c>
      <c r="F193">
        <v>0.33333333333333331</v>
      </c>
      <c r="G193">
        <v>0.6</v>
      </c>
    </row>
    <row r="194" spans="1:7" x14ac:dyDescent="0.15">
      <c r="A194" t="str">
        <f>HYPERLINK("./new_k5/query_cmdrels_weight_analyze/0.1_0.8_0.1/au_818929.xlsx","au_818929")</f>
        <v>au_818929</v>
      </c>
      <c r="B194">
        <v>0</v>
      </c>
      <c r="C194">
        <v>0.2</v>
      </c>
      <c r="D194">
        <v>0</v>
      </c>
      <c r="E194">
        <v>0.2</v>
      </c>
      <c r="F194">
        <v>0</v>
      </c>
      <c r="G194">
        <v>0.3</v>
      </c>
    </row>
    <row r="195" spans="1:7" x14ac:dyDescent="0.15">
      <c r="A195" t="str">
        <f>HYPERLINK("./new_k5/query_cmdrels_weight_analyze/0.1_0.8_0.1/au_844876.xlsx","au_844876")</f>
        <v>au_844876</v>
      </c>
      <c r="B195">
        <v>0.5</v>
      </c>
      <c r="C195">
        <v>0.5</v>
      </c>
      <c r="D195">
        <v>0.5</v>
      </c>
      <c r="E195">
        <v>0.5</v>
      </c>
      <c r="F195">
        <v>0.5</v>
      </c>
      <c r="G195">
        <v>0.75</v>
      </c>
    </row>
    <row r="196" spans="1:7" x14ac:dyDescent="0.15">
      <c r="A196" t="str">
        <f>HYPERLINK("./new_k5/query_cmdrels_weight_analyze/0.1_0.8_0.1/au_85318.xlsx","au_85318")</f>
        <v>au_85318</v>
      </c>
      <c r="B196">
        <v>0.2</v>
      </c>
      <c r="C196">
        <v>0.2</v>
      </c>
      <c r="D196">
        <v>0.6</v>
      </c>
      <c r="E196">
        <v>0.4</v>
      </c>
      <c r="F196">
        <v>0.6</v>
      </c>
      <c r="G196">
        <v>0.4</v>
      </c>
    </row>
    <row r="197" spans="1:7" x14ac:dyDescent="0.15">
      <c r="A197" t="str">
        <f>HYPERLINK("./new_k5/query_cmdrels_weight_analyze/0.1_0.8_0.1/au_854332.xlsx","au_854332")</f>
        <v>au_854332</v>
      </c>
      <c r="B197">
        <v>0.33333333333333331</v>
      </c>
      <c r="C197">
        <v>0</v>
      </c>
      <c r="D197">
        <v>0.55555555555555547</v>
      </c>
      <c r="E197">
        <v>0</v>
      </c>
      <c r="F197">
        <v>0.55555555555555547</v>
      </c>
      <c r="G197">
        <v>8.3333333333333329E-2</v>
      </c>
    </row>
    <row r="198" spans="1:7" x14ac:dyDescent="0.15">
      <c r="A198" t="str">
        <f>HYPERLINK("./new_k5/query_cmdrels_weight_analyze/0.1_0.8_0.1/au_854373.xlsx","au_854373")</f>
        <v>au_854373</v>
      </c>
      <c r="B198">
        <v>0.33333333333333331</v>
      </c>
      <c r="C198">
        <v>0</v>
      </c>
      <c r="D198">
        <v>0.55555555555555547</v>
      </c>
      <c r="E198">
        <v>0.16666666666666671</v>
      </c>
      <c r="F198">
        <v>0.80555555555555547</v>
      </c>
      <c r="G198">
        <v>0.33333333333333331</v>
      </c>
    </row>
    <row r="199" spans="1:7" x14ac:dyDescent="0.15">
      <c r="A199" t="str">
        <f>HYPERLINK("./new_k5/query_cmdrels_weight_analyze/0.1_0.8_0.1/au_86843.xlsx","au_86843")</f>
        <v>au_86843</v>
      </c>
      <c r="B199">
        <v>0</v>
      </c>
      <c r="C199">
        <v>0</v>
      </c>
      <c r="D199">
        <v>0</v>
      </c>
      <c r="E199">
        <v>6.6666666666666666E-2</v>
      </c>
      <c r="F199">
        <v>0.04</v>
      </c>
      <c r="G199">
        <v>6.6666666666666666E-2</v>
      </c>
    </row>
    <row r="200" spans="1:7" x14ac:dyDescent="0.15">
      <c r="A200" t="str">
        <f>HYPERLINK("./new_k5/query_cmdrels_weight_analyze/0.1_0.8_0.1/au_88108.xlsx","au_88108")</f>
        <v>au_88108</v>
      </c>
      <c r="B200">
        <v>0</v>
      </c>
      <c r="C200">
        <v>0</v>
      </c>
      <c r="D200">
        <v>0.1</v>
      </c>
      <c r="E200">
        <v>6.6666666666666666E-2</v>
      </c>
      <c r="F200">
        <v>0.1</v>
      </c>
      <c r="G200">
        <v>6.6666666666666666E-2</v>
      </c>
    </row>
    <row r="201" spans="1:7" x14ac:dyDescent="0.15">
      <c r="A201" t="str">
        <f>HYPERLINK("./new_k5/query_cmdrels_weight_analyze/0.1_0.8_0.1/au_90214.xlsx","au_90214")</f>
        <v>au_90214</v>
      </c>
      <c r="B201">
        <v>0</v>
      </c>
      <c r="C201">
        <v>0</v>
      </c>
      <c r="D201">
        <v>0.16666666666666671</v>
      </c>
      <c r="E201">
        <v>0</v>
      </c>
      <c r="F201">
        <v>0.16666666666666671</v>
      </c>
      <c r="G201">
        <v>0.2166666666666667</v>
      </c>
    </row>
    <row r="202" spans="1:7" x14ac:dyDescent="0.15">
      <c r="A202" t="str">
        <f>HYPERLINK("./new_k5/query_cmdrels_weight_analyze/0.1_0.8_0.1/au_90339.xlsx","au_90339")</f>
        <v>au_90339</v>
      </c>
      <c r="B202">
        <v>0</v>
      </c>
      <c r="C202">
        <v>0.14285714285714279</v>
      </c>
      <c r="D202">
        <v>4.7619047619047623E-2</v>
      </c>
      <c r="E202">
        <v>0.42857142857142849</v>
      </c>
      <c r="F202">
        <v>0.2047619047619047</v>
      </c>
      <c r="G202">
        <v>0.42857142857142849</v>
      </c>
    </row>
    <row r="203" spans="1:7" x14ac:dyDescent="0.15">
      <c r="A203" t="str">
        <f>HYPERLINK("./new_k5/query_cmdrels_weight_analyze/0.1_0.8_0.1/au_91286.xlsx","au_91286")</f>
        <v>au_91286</v>
      </c>
      <c r="B203">
        <v>0.5</v>
      </c>
      <c r="C203">
        <v>0</v>
      </c>
      <c r="D203">
        <v>0.5</v>
      </c>
      <c r="E203">
        <v>0</v>
      </c>
      <c r="F203">
        <v>0.5</v>
      </c>
      <c r="G203">
        <v>0.125</v>
      </c>
    </row>
    <row r="204" spans="1:7" x14ac:dyDescent="0.15">
      <c r="A204" t="str">
        <f>HYPERLINK("./new_k5/query_cmdrels_weight_analyze/0.1_0.8_0.1/au_9135.xlsx","au_9135")</f>
        <v>au_9135</v>
      </c>
      <c r="B204">
        <v>0.1</v>
      </c>
      <c r="C204">
        <v>0.1</v>
      </c>
      <c r="D204">
        <v>0.16666666666666671</v>
      </c>
      <c r="E204">
        <v>0.16666666666666671</v>
      </c>
      <c r="F204">
        <v>0.24166666666666661</v>
      </c>
      <c r="G204">
        <v>0.24166666666666661</v>
      </c>
    </row>
    <row r="205" spans="1:7" x14ac:dyDescent="0.15">
      <c r="A205" t="str">
        <f>HYPERLINK("./new_k5/query_cmdrels_weight_analyze/0.1_0.8_0.1/au_935569.xlsx","au_935569")</f>
        <v>au_935569</v>
      </c>
      <c r="B205">
        <v>0.14285714285714279</v>
      </c>
      <c r="C205">
        <v>0</v>
      </c>
      <c r="D205">
        <v>0.42857142857142849</v>
      </c>
      <c r="E205">
        <v>0.16666666666666671</v>
      </c>
      <c r="F205">
        <v>0.54285714285714282</v>
      </c>
      <c r="G205">
        <v>0.16666666666666671</v>
      </c>
    </row>
    <row r="206" spans="1:7" x14ac:dyDescent="0.15">
      <c r="A206" t="str">
        <f>HYPERLINK("./new_k5/query_cmdrels_weight_analyze/0.1_0.8_0.1/au_97936.xlsx","au_97936")</f>
        <v>au_97936</v>
      </c>
      <c r="B206">
        <v>0.14285714285714279</v>
      </c>
      <c r="C206">
        <v>0.14285714285714279</v>
      </c>
      <c r="D206">
        <v>0.2857142857142857</v>
      </c>
      <c r="E206">
        <v>0.2857142857142857</v>
      </c>
      <c r="F206">
        <v>0.2857142857142857</v>
      </c>
      <c r="G206">
        <v>0.39285714285714279</v>
      </c>
    </row>
    <row r="207" spans="1:7" x14ac:dyDescent="0.15">
      <c r="A207" t="str">
        <f>HYPERLINK("./new_k5/query_cmdrels_weight_analyze/0.1_0.8_0.1/so_10235778.xlsx","so_10235778")</f>
        <v>so_10235778</v>
      </c>
      <c r="B207">
        <v>0.25</v>
      </c>
      <c r="C207">
        <v>0</v>
      </c>
      <c r="D207">
        <v>0.5</v>
      </c>
      <c r="E207">
        <v>0.125</v>
      </c>
      <c r="F207">
        <v>0.5</v>
      </c>
      <c r="G207">
        <v>0.25</v>
      </c>
    </row>
    <row r="208" spans="1:7" x14ac:dyDescent="0.15">
      <c r="A208" t="str">
        <f>HYPERLINK("./new_k5/query_cmdrels_weight_analyze/0.1_0.8_0.1/so_1045910.xlsx","so_1045910")</f>
        <v>so_1045910</v>
      </c>
      <c r="B208">
        <v>0.25</v>
      </c>
      <c r="C208">
        <v>0</v>
      </c>
      <c r="D208">
        <v>0.25</v>
      </c>
      <c r="E208">
        <v>0.125</v>
      </c>
      <c r="F208">
        <v>0.25</v>
      </c>
      <c r="G208">
        <v>0.125</v>
      </c>
    </row>
    <row r="209" spans="1:7" x14ac:dyDescent="0.15">
      <c r="A209" t="str">
        <f>HYPERLINK("./new_k5/query_cmdrels_weight_analyze/0.1_0.8_0.1/so_10557360.xlsx","so_10557360")</f>
        <v>so_10557360</v>
      </c>
      <c r="B209">
        <v>0</v>
      </c>
      <c r="C209">
        <v>0</v>
      </c>
      <c r="D209">
        <v>0</v>
      </c>
      <c r="E209">
        <v>0.1</v>
      </c>
      <c r="F209">
        <v>0</v>
      </c>
      <c r="G209">
        <v>0.1</v>
      </c>
    </row>
    <row r="210" spans="1:7" x14ac:dyDescent="0.15">
      <c r="A210" t="str">
        <f>HYPERLINK("./new_k5/query_cmdrels_weight_analyze/0.1_0.8_0.1/so_1058047.xlsx","so_1058047")</f>
        <v>so_1058047</v>
      </c>
      <c r="B210">
        <v>0.25</v>
      </c>
      <c r="C210">
        <v>0.25</v>
      </c>
      <c r="D210">
        <v>0.25</v>
      </c>
      <c r="E210">
        <v>0.41666666666666657</v>
      </c>
      <c r="F210">
        <v>0.25</v>
      </c>
      <c r="G210">
        <v>0.41666666666666657</v>
      </c>
    </row>
    <row r="211" spans="1:7" x14ac:dyDescent="0.15">
      <c r="A211" t="str">
        <f>HYPERLINK("./new_k5/query_cmdrels_weight_analyze/0.1_0.8_0.1/so_10829402.xlsx","so_10829402")</f>
        <v>so_10829402</v>
      </c>
      <c r="B211">
        <v>0.5</v>
      </c>
      <c r="C211">
        <v>0.5</v>
      </c>
      <c r="D211">
        <v>0.83333333333333326</v>
      </c>
      <c r="E211">
        <v>0.5</v>
      </c>
      <c r="F211">
        <v>0.83333333333333326</v>
      </c>
      <c r="G211">
        <v>0.5</v>
      </c>
    </row>
    <row r="212" spans="1:7" x14ac:dyDescent="0.15">
      <c r="A212" t="str">
        <f>HYPERLINK("./new_k5/query_cmdrels_weight_analyze/0.1_0.8_0.1/so_1088098.xlsx","so_1088098")</f>
        <v>so_1088098</v>
      </c>
      <c r="B212">
        <v>0</v>
      </c>
      <c r="C212">
        <v>0</v>
      </c>
      <c r="D212">
        <v>0.125</v>
      </c>
      <c r="E212">
        <v>0.125</v>
      </c>
      <c r="F212">
        <v>0.125</v>
      </c>
      <c r="G212">
        <v>0.125</v>
      </c>
    </row>
    <row r="213" spans="1:7" x14ac:dyDescent="0.15">
      <c r="A213" t="str">
        <f>HYPERLINK("./new_k5/query_cmdrels_weight_analyze/0.1_0.8_0.1/so_10990949.xlsx","so_10990949")</f>
        <v>so_10990949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0.7</v>
      </c>
    </row>
    <row r="214" spans="1:7" x14ac:dyDescent="0.15">
      <c r="A214" t="str">
        <f>HYPERLINK("./new_k5/query_cmdrels_weight_analyze/0.1_0.8_0.1/so_11211705.xlsx","so_11211705")</f>
        <v>so_11211705</v>
      </c>
      <c r="B214">
        <v>0</v>
      </c>
      <c r="C214">
        <v>0.25</v>
      </c>
      <c r="D214">
        <v>0</v>
      </c>
      <c r="E214">
        <v>0.5</v>
      </c>
      <c r="F214">
        <v>0.05</v>
      </c>
      <c r="G214">
        <v>0.5</v>
      </c>
    </row>
    <row r="215" spans="1:7" x14ac:dyDescent="0.15">
      <c r="A215" t="str">
        <f>HYPERLINK("./new_k5/query_cmdrels_weight_analyze/0.1_0.8_0.1/so_112932.xlsx","so_112932")</f>
        <v>so_112932</v>
      </c>
      <c r="B215">
        <v>0</v>
      </c>
      <c r="C215">
        <v>0</v>
      </c>
      <c r="D215">
        <v>0.16666666666666671</v>
      </c>
      <c r="E215">
        <v>0.38888888888888878</v>
      </c>
      <c r="F215">
        <v>0.16666666666666671</v>
      </c>
      <c r="G215">
        <v>0.38888888888888878</v>
      </c>
    </row>
    <row r="216" spans="1:7" x14ac:dyDescent="0.15">
      <c r="A216" t="str">
        <f>HYPERLINK("./new_k5/query_cmdrels_weight_analyze/0.1_0.8_0.1/so_11392189.xlsx","so_11392189")</f>
        <v>so_11392189</v>
      </c>
      <c r="B216">
        <v>0</v>
      </c>
      <c r="C216">
        <v>0</v>
      </c>
      <c r="D216">
        <v>0</v>
      </c>
      <c r="E216">
        <v>8.3333333333333329E-2</v>
      </c>
      <c r="F216">
        <v>0</v>
      </c>
      <c r="G216">
        <v>8.3333333333333329E-2</v>
      </c>
    </row>
    <row r="217" spans="1:7" x14ac:dyDescent="0.15">
      <c r="A217" t="str">
        <f>HYPERLINK("./new_k5/query_cmdrels_weight_analyze/0.1_0.8_0.1/so_1183183.xlsx","so_1183183")</f>
        <v>so_1183183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0.2</v>
      </c>
    </row>
    <row r="218" spans="1:7" x14ac:dyDescent="0.15">
      <c r="A218" t="str">
        <f>HYPERLINK("./new_k5/query_cmdrels_weight_analyze/0.1_0.8_0.1/so_1194882.xlsx","so_1194882")</f>
        <v>so_1194882</v>
      </c>
      <c r="B218">
        <v>0.2</v>
      </c>
      <c r="C218">
        <v>0.2</v>
      </c>
      <c r="D218">
        <v>0.2</v>
      </c>
      <c r="E218">
        <v>0.33333333333333331</v>
      </c>
      <c r="F218">
        <v>0.2</v>
      </c>
      <c r="G218">
        <v>0.48333333333333328</v>
      </c>
    </row>
    <row r="219" spans="1:7" x14ac:dyDescent="0.15">
      <c r="A219" t="str">
        <f>HYPERLINK("./new_k5/query_cmdrels_weight_analyze/0.1_0.8_0.1/so_12120935.xlsx","so_12120935")</f>
        <v>so_12120935</v>
      </c>
      <c r="B219">
        <v>0.25</v>
      </c>
      <c r="C219">
        <v>0.25</v>
      </c>
      <c r="D219">
        <v>0.41666666666666657</v>
      </c>
      <c r="E219">
        <v>0.5</v>
      </c>
      <c r="F219">
        <v>0.41666666666666657</v>
      </c>
      <c r="G219">
        <v>0.6875</v>
      </c>
    </row>
    <row r="220" spans="1:7" x14ac:dyDescent="0.15">
      <c r="A220" t="str">
        <f>HYPERLINK("./new_k5/query_cmdrels_weight_analyze/0.1_0.8_0.1/so_12313384.xlsx","so_12313384")</f>
        <v>so_12313384</v>
      </c>
      <c r="B220">
        <v>0</v>
      </c>
      <c r="C220">
        <v>0.33333333333333331</v>
      </c>
      <c r="D220">
        <v>0.16666666666666671</v>
      </c>
      <c r="E220">
        <v>0.33333333333333331</v>
      </c>
      <c r="F220">
        <v>0.16666666666666671</v>
      </c>
      <c r="G220">
        <v>0.33333333333333331</v>
      </c>
    </row>
    <row r="221" spans="1:7" x14ac:dyDescent="0.15">
      <c r="A221" t="str">
        <f>HYPERLINK("./new_k5/query_cmdrels_weight_analyze/0.1_0.8_0.1/so_12392598.xlsx","so_12392598")</f>
        <v>so_12392598</v>
      </c>
      <c r="B221">
        <v>0.14285714285714279</v>
      </c>
      <c r="C221">
        <v>0.14285714285714279</v>
      </c>
      <c r="D221">
        <v>0.2857142857142857</v>
      </c>
      <c r="E221">
        <v>0.2857142857142857</v>
      </c>
      <c r="F221">
        <v>0.2857142857142857</v>
      </c>
      <c r="G221">
        <v>0.50714285714285712</v>
      </c>
    </row>
    <row r="222" spans="1:7" x14ac:dyDescent="0.15">
      <c r="A222" t="str">
        <f>HYPERLINK("./new_k5/query_cmdrels_weight_analyze/0.1_0.8_0.1/so_1241801.xlsx","so_1241801")</f>
        <v>so_1241801</v>
      </c>
      <c r="B222">
        <v>0.5</v>
      </c>
      <c r="C222">
        <v>0.5</v>
      </c>
      <c r="D222">
        <v>1</v>
      </c>
      <c r="E222">
        <v>1</v>
      </c>
      <c r="F222">
        <v>1</v>
      </c>
      <c r="G222">
        <v>1</v>
      </c>
    </row>
    <row r="223" spans="1:7" x14ac:dyDescent="0.15">
      <c r="A223" t="str">
        <f>HYPERLINK("./new_k5/query_cmdrels_weight_analyze/0.1_0.8_0.1/so_12522269.xlsx","so_12522269")</f>
        <v>so_12522269</v>
      </c>
      <c r="B223">
        <v>0.2</v>
      </c>
      <c r="C223">
        <v>0</v>
      </c>
      <c r="D223">
        <v>0.2</v>
      </c>
      <c r="E223">
        <v>0.1</v>
      </c>
      <c r="F223">
        <v>0.28000000000000003</v>
      </c>
      <c r="G223">
        <v>0.1</v>
      </c>
    </row>
    <row r="224" spans="1:7" x14ac:dyDescent="0.15">
      <c r="A224" t="str">
        <f>HYPERLINK("./new_k5/query_cmdrels_weight_analyze/0.1_0.8_0.1/so_1293907.xlsx","so_1293907")</f>
        <v>so_1293907</v>
      </c>
      <c r="B224">
        <v>0</v>
      </c>
      <c r="C224">
        <v>0.33333333333333331</v>
      </c>
      <c r="D224">
        <v>0</v>
      </c>
      <c r="E224">
        <v>0.66666666666666663</v>
      </c>
      <c r="F224">
        <v>8.3333333333333329E-2</v>
      </c>
      <c r="G224">
        <v>0.91666666666666663</v>
      </c>
    </row>
    <row r="225" spans="1:7" x14ac:dyDescent="0.15">
      <c r="A225" t="str">
        <f>HYPERLINK("./new_k5/query_cmdrels_weight_analyze/0.1_0.8_0.1/so_13428910.xlsx","so_13428910")</f>
        <v>so_13428910</v>
      </c>
      <c r="B225">
        <v>0.33333333333333331</v>
      </c>
      <c r="C225">
        <v>0.33333333333333331</v>
      </c>
      <c r="D225">
        <v>1</v>
      </c>
      <c r="E225">
        <v>1</v>
      </c>
      <c r="F225">
        <v>1</v>
      </c>
      <c r="G225">
        <v>1</v>
      </c>
    </row>
    <row r="226" spans="1:7" x14ac:dyDescent="0.15">
      <c r="A226" t="str">
        <f>HYPERLINK("./new_k5/query_cmdrels_weight_analyze/0.1_0.8_0.1/so_135688.xlsx","so_135688")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15">
      <c r="A227" t="str">
        <f>HYPERLINK("./new_k5/query_cmdrels_weight_analyze/0.1_0.8_0.1/so_13778273.xlsx","so_13778273")</f>
        <v>so_13778273</v>
      </c>
      <c r="B227">
        <v>0.25</v>
      </c>
      <c r="C227">
        <v>0.25</v>
      </c>
      <c r="D227">
        <v>0.25</v>
      </c>
      <c r="E227">
        <v>0.5</v>
      </c>
      <c r="F227">
        <v>0.25</v>
      </c>
      <c r="G227">
        <v>0.65</v>
      </c>
    </row>
    <row r="228" spans="1:7" x14ac:dyDescent="0.15">
      <c r="A228" t="str">
        <f>HYPERLINK("./new_k5/query_cmdrels_weight_analyze/0.1_0.8_0.1/so_1405611.xlsx","so_1405611")</f>
        <v>so_1405611</v>
      </c>
      <c r="B228">
        <v>0.33333333333333331</v>
      </c>
      <c r="C228">
        <v>0</v>
      </c>
      <c r="D228">
        <v>0.33333333333333331</v>
      </c>
      <c r="E228">
        <v>0.16666666666666671</v>
      </c>
      <c r="F228">
        <v>0.33333333333333331</v>
      </c>
      <c r="G228">
        <v>0.16666666666666671</v>
      </c>
    </row>
    <row r="229" spans="1:7" x14ac:dyDescent="0.15">
      <c r="A229" t="str">
        <f>HYPERLINK("./new_k5/query_cmdrels_weight_analyze/0.1_0.8_0.1/so_14300794.xlsx","so_14300794")</f>
        <v>so_14300794</v>
      </c>
      <c r="B229">
        <v>0.16666666666666671</v>
      </c>
      <c r="C229">
        <v>0.16666666666666671</v>
      </c>
      <c r="D229">
        <v>0.33333333333333331</v>
      </c>
      <c r="E229">
        <v>0.5</v>
      </c>
      <c r="F229">
        <v>0.59166666666666667</v>
      </c>
      <c r="G229">
        <v>0.83333333333333337</v>
      </c>
    </row>
    <row r="230" spans="1:7" x14ac:dyDescent="0.15">
      <c r="A230" t="str">
        <f>HYPERLINK("./new_k5/query_cmdrels_weight_analyze/0.1_0.8_0.1/so_143791.xlsx","so_143791")</f>
        <v>so_143791</v>
      </c>
      <c r="B230">
        <v>0.125</v>
      </c>
      <c r="C230">
        <v>0</v>
      </c>
      <c r="D230">
        <v>0.375</v>
      </c>
      <c r="E230">
        <v>0.14583333333333329</v>
      </c>
      <c r="F230">
        <v>0.375</v>
      </c>
      <c r="G230">
        <v>0.33958333333333329</v>
      </c>
    </row>
    <row r="231" spans="1:7" x14ac:dyDescent="0.15">
      <c r="A231" t="str">
        <f>HYPERLINK("./new_k5/query_cmdrels_weight_analyze/0.1_0.8_0.1/so_14750650.xlsx","so_14750650")</f>
        <v>so_14750650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0.05</v>
      </c>
    </row>
    <row r="232" spans="1:7" x14ac:dyDescent="0.15">
      <c r="A232" t="str">
        <f>HYPERLINK("./new_k5/query_cmdrels_weight_analyze/0.1_0.8_0.1/so_14978411.xlsx","so_14978411")</f>
        <v>so_14978411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</row>
    <row r="233" spans="1:7" x14ac:dyDescent="0.15">
      <c r="A233" t="str">
        <f>HYPERLINK("./new_k5/query_cmdrels_weight_analyze/0.1_0.8_0.1/so_15236308.xlsx","so_15236308")</f>
        <v>so_15236308</v>
      </c>
      <c r="B233">
        <v>0.25</v>
      </c>
      <c r="C233">
        <v>0.25</v>
      </c>
      <c r="D233">
        <v>0.25</v>
      </c>
      <c r="E233">
        <v>0.75</v>
      </c>
      <c r="F233">
        <v>0.25</v>
      </c>
      <c r="G233">
        <v>0.75</v>
      </c>
    </row>
    <row r="234" spans="1:7" x14ac:dyDescent="0.15">
      <c r="A234" t="str">
        <f>HYPERLINK("./new_k5/query_cmdrels_weight_analyze/0.1_0.8_0.1/so_15286947.xlsx","so_15286947")</f>
        <v>so_15286947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 t="str">
        <f>HYPERLINK("./new_k5/query_cmdrels_weight_analyze/0.1_0.8_0.1/so_15402770.xlsx","so_15402770")</f>
        <v>so_15402770</v>
      </c>
      <c r="B235">
        <v>0</v>
      </c>
      <c r="C235">
        <v>0.16666666666666671</v>
      </c>
      <c r="D235">
        <v>0.19444444444444439</v>
      </c>
      <c r="E235">
        <v>0.5</v>
      </c>
      <c r="F235">
        <v>0.19444444444444439</v>
      </c>
      <c r="G235">
        <v>0.66666666666666663</v>
      </c>
    </row>
    <row r="236" spans="1:7" x14ac:dyDescent="0.15">
      <c r="A236" t="str">
        <f>HYPERLINK("./new_k5/query_cmdrels_weight_analyze/0.1_0.8_0.1/so_1570262.xlsx","so_1570262")</f>
        <v>so_1570262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0.13</v>
      </c>
    </row>
    <row r="237" spans="1:7" x14ac:dyDescent="0.15">
      <c r="A237" t="str">
        <f>HYPERLINK("./new_k5/query_cmdrels_weight_analyze/0.1_0.8_0.1/so_1583219.xlsx","so_1583219")</f>
        <v>so_1583219</v>
      </c>
      <c r="B237">
        <v>0.125</v>
      </c>
      <c r="C237">
        <v>0.125</v>
      </c>
      <c r="D237">
        <v>0.375</v>
      </c>
      <c r="E237">
        <v>0.25</v>
      </c>
      <c r="F237">
        <v>0.375</v>
      </c>
      <c r="G237">
        <v>0.32500000000000001</v>
      </c>
    </row>
    <row r="238" spans="1:7" x14ac:dyDescent="0.15">
      <c r="A238" t="str">
        <f>HYPERLINK("./new_k5/query_cmdrels_weight_analyze/0.1_0.8_0.1/so_15872543.xlsx","so_15872543")</f>
        <v>so_15872543</v>
      </c>
      <c r="B238">
        <v>0</v>
      </c>
      <c r="C238">
        <v>0.5</v>
      </c>
      <c r="D238">
        <v>0.58333333333333326</v>
      </c>
      <c r="E238">
        <v>0.83333333333333326</v>
      </c>
      <c r="F238">
        <v>0.58333333333333326</v>
      </c>
      <c r="G238">
        <v>0.83333333333333326</v>
      </c>
    </row>
    <row r="239" spans="1:7" x14ac:dyDescent="0.15">
      <c r="A239" t="str">
        <f>HYPERLINK("./new_k5/query_cmdrels_weight_analyze/0.1_0.8_0.1/so_16038087.xlsx","so_16038087")</f>
        <v>so_16038087</v>
      </c>
      <c r="B239">
        <v>0.14285714285714279</v>
      </c>
      <c r="C239">
        <v>0.14285714285714279</v>
      </c>
      <c r="D239">
        <v>0.2857142857142857</v>
      </c>
      <c r="E239">
        <v>0.14285714285714279</v>
      </c>
      <c r="F239">
        <v>0.2857142857142857</v>
      </c>
      <c r="G239">
        <v>0.14285714285714279</v>
      </c>
    </row>
    <row r="240" spans="1:7" x14ac:dyDescent="0.15">
      <c r="A240" t="str">
        <f>HYPERLINK("./new_k5/query_cmdrels_weight_analyze/0.1_0.8_0.1/so_16212656.xlsx","so_16212656")</f>
        <v>so_16212656</v>
      </c>
      <c r="B240">
        <v>0.1</v>
      </c>
      <c r="C240">
        <v>0.1</v>
      </c>
      <c r="D240">
        <v>0.1</v>
      </c>
      <c r="E240">
        <v>0.3</v>
      </c>
      <c r="F240">
        <v>0.1</v>
      </c>
      <c r="G240">
        <v>0.4</v>
      </c>
    </row>
    <row r="241" spans="1:7" x14ac:dyDescent="0.15">
      <c r="A241" t="str">
        <f>HYPERLINK("./new_k5/query_cmdrels_weight_analyze/0.1_0.8_0.1/so_16575419.xlsx","so_16575419")</f>
        <v>so_16575419</v>
      </c>
      <c r="B241">
        <v>0.25</v>
      </c>
      <c r="C241">
        <v>0.25</v>
      </c>
      <c r="D241">
        <v>0.25</v>
      </c>
      <c r="E241">
        <v>0.75</v>
      </c>
      <c r="F241">
        <v>0.25</v>
      </c>
      <c r="G241">
        <v>0.75</v>
      </c>
    </row>
    <row r="242" spans="1:7" x14ac:dyDescent="0.15">
      <c r="A242" t="str">
        <f>HYPERLINK("./new_k5/query_cmdrels_weight_analyze/0.1_0.8_0.1/so_17582768.xlsx","so_17582768")</f>
        <v>so_17582768</v>
      </c>
      <c r="B242">
        <v>0.33333333333333331</v>
      </c>
      <c r="C242">
        <v>0</v>
      </c>
      <c r="D242">
        <v>0.33333333333333331</v>
      </c>
      <c r="E242">
        <v>0.1111111111111111</v>
      </c>
      <c r="F242">
        <v>0.33333333333333331</v>
      </c>
      <c r="G242">
        <v>0.1111111111111111</v>
      </c>
    </row>
    <row r="243" spans="1:7" x14ac:dyDescent="0.15">
      <c r="A243" t="str">
        <f>HYPERLINK("./new_k5/query_cmdrels_weight_analyze/0.1_0.8_0.1/so_17607612.xlsx","so_17607612")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15">
      <c r="A244" t="str">
        <f>HYPERLINK("./new_k5/query_cmdrels_weight_analyze/0.1_0.8_0.1/so_17829785.xlsx","so_17829785")</f>
        <v>so_17829785</v>
      </c>
      <c r="B244">
        <v>0.25</v>
      </c>
      <c r="C244">
        <v>0.25</v>
      </c>
      <c r="D244">
        <v>0.25</v>
      </c>
      <c r="E244">
        <v>0.41666666666666657</v>
      </c>
      <c r="F244">
        <v>0.25</v>
      </c>
      <c r="G244">
        <v>0.41666666666666657</v>
      </c>
    </row>
    <row r="245" spans="1:7" x14ac:dyDescent="0.15">
      <c r="A245" t="str">
        <f>HYPERLINK("./new_k5/query_cmdrels_weight_analyze/0.1_0.8_0.1/so_1839841.xlsx","so_1839841")</f>
        <v>so_1839841</v>
      </c>
      <c r="B245">
        <v>0.25</v>
      </c>
      <c r="C245">
        <v>0.25</v>
      </c>
      <c r="D245">
        <v>0.25</v>
      </c>
      <c r="E245">
        <v>0.25</v>
      </c>
      <c r="F245">
        <v>0.25</v>
      </c>
      <c r="G245">
        <v>0.25</v>
      </c>
    </row>
    <row r="246" spans="1:7" x14ac:dyDescent="0.15">
      <c r="A246" t="str">
        <f>HYPERLINK("./new_k5/query_cmdrels_weight_analyze/0.1_0.8_0.1/so_18468716.xlsx","so_18468716")</f>
        <v>so_18468716</v>
      </c>
      <c r="B246">
        <v>0.33333333333333331</v>
      </c>
      <c r="C246">
        <v>0.33333333333333331</v>
      </c>
      <c r="D246">
        <v>0.33333333333333331</v>
      </c>
      <c r="E246">
        <v>0.33333333333333331</v>
      </c>
      <c r="F246">
        <v>0.33333333333333331</v>
      </c>
      <c r="G246">
        <v>0.46666666666666662</v>
      </c>
    </row>
    <row r="247" spans="1:7" x14ac:dyDescent="0.15">
      <c r="A247" t="str">
        <f>HYPERLINK("./new_k5/query_cmdrels_weight_analyze/0.1_0.8_0.1/so_19196105.xlsx","so_19196105")</f>
        <v>so_19196105</v>
      </c>
      <c r="B247">
        <v>0.1</v>
      </c>
      <c r="C247">
        <v>0</v>
      </c>
      <c r="D247">
        <v>0.3</v>
      </c>
      <c r="E247">
        <v>0.1166666666666667</v>
      </c>
      <c r="F247">
        <v>0.5</v>
      </c>
      <c r="G247">
        <v>0.27166666666666672</v>
      </c>
    </row>
    <row r="248" spans="1:7" x14ac:dyDescent="0.15">
      <c r="A248" t="str">
        <f>HYPERLINK("./new_k5/query_cmdrels_weight_analyze/0.1_0.8_0.1/so_19482123.xlsx","so_19482123")</f>
        <v>so_19482123</v>
      </c>
      <c r="B248">
        <v>0.2</v>
      </c>
      <c r="C248">
        <v>0.2</v>
      </c>
      <c r="D248">
        <v>0.4</v>
      </c>
      <c r="E248">
        <v>0.4</v>
      </c>
      <c r="F248">
        <v>0.4</v>
      </c>
      <c r="G248">
        <v>0.52</v>
      </c>
    </row>
    <row r="249" spans="1:7" x14ac:dyDescent="0.15">
      <c r="A249" t="str">
        <f>HYPERLINK("./new_k5/query_cmdrels_weight_analyze/0.1_0.8_0.1/so_1975849.xlsx","so_1975849")</f>
        <v>so_1975849</v>
      </c>
      <c r="B249">
        <v>0</v>
      </c>
      <c r="C249">
        <v>0.33333333333333331</v>
      </c>
      <c r="D249">
        <v>0.16666666666666671</v>
      </c>
      <c r="E249">
        <v>0.33333333333333331</v>
      </c>
      <c r="F249">
        <v>0.16666666666666671</v>
      </c>
      <c r="G249">
        <v>0.5</v>
      </c>
    </row>
    <row r="250" spans="1:7" x14ac:dyDescent="0.15">
      <c r="A250" t="str">
        <f>HYPERLINK("./new_k5/query_cmdrels_weight_analyze/0.1_0.8_0.1/so_212528.xlsx","so_212528")</f>
        <v>so_212528</v>
      </c>
      <c r="B250">
        <v>0</v>
      </c>
      <c r="C250">
        <v>0.16666666666666671</v>
      </c>
      <c r="D250">
        <v>0.19444444444444439</v>
      </c>
      <c r="E250">
        <v>0.33333333333333331</v>
      </c>
      <c r="F250">
        <v>0.19444444444444439</v>
      </c>
      <c r="G250">
        <v>0.43333333333333329</v>
      </c>
    </row>
    <row r="251" spans="1:7" x14ac:dyDescent="0.15">
      <c r="A251" t="str">
        <f>HYPERLINK("./new_k5/query_cmdrels_weight_analyze/0.1_0.8_0.1/so_21620406.xlsx","so_21620406")</f>
        <v>so_21620406</v>
      </c>
      <c r="B251">
        <v>0</v>
      </c>
      <c r="C251">
        <v>0</v>
      </c>
      <c r="D251">
        <v>0.1111111111111111</v>
      </c>
      <c r="E251">
        <v>0.1111111111111111</v>
      </c>
      <c r="F251">
        <v>0.1111111111111111</v>
      </c>
      <c r="G251">
        <v>0.1111111111111111</v>
      </c>
    </row>
    <row r="252" spans="1:7" x14ac:dyDescent="0.15">
      <c r="A252" t="str">
        <f>HYPERLINK("./new_k5/query_cmdrels_weight_analyze/0.1_0.8_0.1/so_23509348.xlsx","so_23509348")</f>
        <v>so_23509348</v>
      </c>
      <c r="B252">
        <v>0</v>
      </c>
      <c r="C252">
        <v>0</v>
      </c>
      <c r="D252">
        <v>0</v>
      </c>
      <c r="E252">
        <v>0.29166666666666657</v>
      </c>
      <c r="F252">
        <v>0</v>
      </c>
      <c r="G252">
        <v>0.29166666666666657</v>
      </c>
    </row>
    <row r="253" spans="1:7" x14ac:dyDescent="0.15">
      <c r="A253" t="str">
        <f>HYPERLINK("./new_k5/query_cmdrels_weight_analyze/0.1_0.8_0.1/so_24058544.xlsx","so_24058544")</f>
        <v>so_24058544</v>
      </c>
      <c r="B253">
        <v>0.2</v>
      </c>
      <c r="C253">
        <v>0.2</v>
      </c>
      <c r="D253">
        <v>0.2</v>
      </c>
      <c r="E253">
        <v>0.4</v>
      </c>
      <c r="F253">
        <v>0.2</v>
      </c>
      <c r="G253">
        <v>0.4</v>
      </c>
    </row>
    <row r="254" spans="1:7" x14ac:dyDescent="0.15">
      <c r="A254" t="str">
        <f>HYPERLINK("./new_k5/query_cmdrels_weight_analyze/0.1_0.8_0.1/so_24283097.xlsx","so_24283097")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 t="str">
        <f>HYPERLINK("./new_k5/query_cmdrels_weight_analyze/0.1_0.8_0.1/so_26256279.xlsx","so_26256279")</f>
        <v>so_26256279</v>
      </c>
      <c r="B255">
        <v>0.33333333333333331</v>
      </c>
      <c r="C255">
        <v>0.33333333333333331</v>
      </c>
      <c r="D255">
        <v>0.33333333333333331</v>
      </c>
      <c r="E255">
        <v>1</v>
      </c>
      <c r="F255">
        <v>0.33333333333333331</v>
      </c>
      <c r="G255">
        <v>1</v>
      </c>
    </row>
    <row r="256" spans="1:7" x14ac:dyDescent="0.15">
      <c r="A256" t="str">
        <f>HYPERLINK("./new_k5/query_cmdrels_weight_analyze/0.1_0.8_0.1/so_26331651.xlsx","so_26331651")</f>
        <v>so_26331651</v>
      </c>
      <c r="B256">
        <v>0</v>
      </c>
      <c r="C256">
        <v>0.14285714285714279</v>
      </c>
      <c r="D256">
        <v>0</v>
      </c>
      <c r="E256">
        <v>0.23809523809523811</v>
      </c>
      <c r="F256">
        <v>0</v>
      </c>
      <c r="G256">
        <v>0.23809523809523811</v>
      </c>
    </row>
    <row r="257" spans="1:7" x14ac:dyDescent="0.15">
      <c r="A257" t="str">
        <f>HYPERLINK("./new_k5/query_cmdrels_weight_analyze/0.1_0.8_0.1/so_26988262.xlsx","so_26988262")</f>
        <v>so_26988262</v>
      </c>
      <c r="B257">
        <v>0</v>
      </c>
      <c r="C257">
        <v>0.33333333333333331</v>
      </c>
      <c r="D257">
        <v>0.16666666666666671</v>
      </c>
      <c r="E257">
        <v>0.33333333333333331</v>
      </c>
      <c r="F257">
        <v>0.33333333333333331</v>
      </c>
      <c r="G257">
        <v>0.46666666666666662</v>
      </c>
    </row>
    <row r="258" spans="1:7" x14ac:dyDescent="0.15">
      <c r="A258" t="str">
        <f>HYPERLINK("./new_k5/query_cmdrels_weight_analyze/0.1_0.8_0.1/so_27238411.xlsx","so_27238411")</f>
        <v>so_27238411</v>
      </c>
      <c r="B258">
        <v>0.2</v>
      </c>
      <c r="C258">
        <v>0.2</v>
      </c>
      <c r="D258">
        <v>0.6</v>
      </c>
      <c r="E258">
        <v>0.33333333333333331</v>
      </c>
      <c r="F258">
        <v>0.6</v>
      </c>
      <c r="G258">
        <v>0.48333333333333328</v>
      </c>
    </row>
    <row r="259" spans="1:7" x14ac:dyDescent="0.15">
      <c r="A259" t="str">
        <f>HYPERLINK("./new_k5/query_cmdrels_weight_analyze/0.1_0.8_0.1/so_27943059.xlsx","so_27943059")</f>
        <v>so_27943059</v>
      </c>
      <c r="B259">
        <v>0</v>
      </c>
      <c r="C259">
        <v>0.33333333333333331</v>
      </c>
      <c r="D259">
        <v>0.16666666666666671</v>
      </c>
      <c r="E259">
        <v>0.55555555555555547</v>
      </c>
      <c r="F259">
        <v>0.16666666666666671</v>
      </c>
      <c r="G259">
        <v>0.55555555555555547</v>
      </c>
    </row>
    <row r="260" spans="1:7" x14ac:dyDescent="0.15">
      <c r="A260" t="str">
        <f>HYPERLINK("./new_k5/query_cmdrels_weight_analyze/0.1_0.8_0.1/so_28869004.xlsx","so_28869004")</f>
        <v>so_28869004</v>
      </c>
      <c r="B260">
        <v>0.33333333333333331</v>
      </c>
      <c r="C260">
        <v>0.33333333333333331</v>
      </c>
      <c r="D260">
        <v>0.55555555555555547</v>
      </c>
      <c r="E260">
        <v>0.33333333333333331</v>
      </c>
      <c r="F260">
        <v>0.55555555555555547</v>
      </c>
      <c r="G260">
        <v>0.33333333333333331</v>
      </c>
    </row>
    <row r="261" spans="1:7" x14ac:dyDescent="0.15">
      <c r="A261" t="str">
        <f>HYPERLINK("./new_k5/query_cmdrels_weight_analyze/0.1_0.8_0.1/so_2973624.xlsx","so_2973624")</f>
        <v>so_2973624</v>
      </c>
      <c r="B261">
        <v>0.33333333333333331</v>
      </c>
      <c r="C261">
        <v>0.33333333333333331</v>
      </c>
      <c r="D261">
        <v>0.66666666666666663</v>
      </c>
      <c r="E261">
        <v>0.33333333333333331</v>
      </c>
      <c r="F261">
        <v>0.66666666666666663</v>
      </c>
      <c r="G261">
        <v>0.33333333333333331</v>
      </c>
    </row>
    <row r="262" spans="1:7" x14ac:dyDescent="0.15">
      <c r="A262" t="str">
        <f>HYPERLINK("./new_k5/query_cmdrels_weight_analyze/0.1_0.8_0.1/so_30177455.xlsx","so_30177455")</f>
        <v>so_30177455</v>
      </c>
      <c r="B262">
        <v>0</v>
      </c>
      <c r="C262">
        <v>0</v>
      </c>
      <c r="D262">
        <v>0.16666666666666671</v>
      </c>
      <c r="E262">
        <v>0.16666666666666671</v>
      </c>
      <c r="F262">
        <v>0.16666666666666671</v>
      </c>
      <c r="G262">
        <v>0.16666666666666671</v>
      </c>
    </row>
    <row r="263" spans="1:7" x14ac:dyDescent="0.15">
      <c r="A263" t="str">
        <f>HYPERLINK("./new_k5/query_cmdrels_weight_analyze/0.1_0.8_0.1/so_30251889.xlsx","so_30251889")</f>
        <v>so_30251889</v>
      </c>
      <c r="B263">
        <v>0</v>
      </c>
      <c r="C263">
        <v>0</v>
      </c>
      <c r="D263">
        <v>0.125</v>
      </c>
      <c r="E263">
        <v>0.29166666666666657</v>
      </c>
      <c r="F263">
        <v>0.22500000000000001</v>
      </c>
      <c r="G263">
        <v>0.29166666666666657</v>
      </c>
    </row>
    <row r="264" spans="1:7" x14ac:dyDescent="0.15">
      <c r="A264" t="str">
        <f>HYPERLINK("./new_k5/query_cmdrels_weight_analyze/0.1_0.8_0.1/so_305035.xlsx","so_305035")</f>
        <v>so_305035</v>
      </c>
      <c r="B264">
        <v>0</v>
      </c>
      <c r="C264">
        <v>0.5</v>
      </c>
      <c r="D264">
        <v>0.58333333333333326</v>
      </c>
      <c r="E264">
        <v>1</v>
      </c>
      <c r="F264">
        <v>0.58333333333333326</v>
      </c>
      <c r="G264">
        <v>1</v>
      </c>
    </row>
    <row r="265" spans="1:7" x14ac:dyDescent="0.15">
      <c r="A265" t="str">
        <f>HYPERLINK("./new_k5/query_cmdrels_weight_analyze/0.1_0.8_0.1/so_36249744.xlsx","so_36249744")</f>
        <v>so_36249744</v>
      </c>
      <c r="B265">
        <v>1</v>
      </c>
      <c r="C265">
        <v>0</v>
      </c>
      <c r="D265">
        <v>1</v>
      </c>
      <c r="E265">
        <v>0.33333333333333331</v>
      </c>
      <c r="F265">
        <v>1</v>
      </c>
      <c r="G265">
        <v>0.33333333333333331</v>
      </c>
    </row>
    <row r="266" spans="1:7" x14ac:dyDescent="0.15">
      <c r="A266" t="str">
        <f>HYPERLINK("./new_k5/query_cmdrels_weight_analyze/0.1_0.8_0.1/so_3643848.xlsx","so_3643848")</f>
        <v>so_3643848</v>
      </c>
      <c r="B266">
        <v>0.5</v>
      </c>
      <c r="C266">
        <v>0.5</v>
      </c>
      <c r="D266">
        <v>1</v>
      </c>
      <c r="E266">
        <v>1</v>
      </c>
      <c r="F266">
        <v>1</v>
      </c>
      <c r="G266">
        <v>1</v>
      </c>
    </row>
    <row r="267" spans="1:7" x14ac:dyDescent="0.15">
      <c r="A267" t="str">
        <f>HYPERLINK("./new_k5/query_cmdrels_weight_analyze/0.1_0.8_0.1/so_3667329.xlsx","so_3667329")</f>
        <v>so_3667329</v>
      </c>
      <c r="B267">
        <v>0.33333333333333331</v>
      </c>
      <c r="C267">
        <v>0.33333333333333331</v>
      </c>
      <c r="D267">
        <v>0.33333333333333331</v>
      </c>
      <c r="E267">
        <v>0.33333333333333331</v>
      </c>
      <c r="F267">
        <v>0.33333333333333331</v>
      </c>
      <c r="G267">
        <v>0.5</v>
      </c>
    </row>
    <row r="268" spans="1:7" x14ac:dyDescent="0.15">
      <c r="A268" t="str">
        <f>HYPERLINK("./new_k5/query_cmdrels_weight_analyze/0.1_0.8_0.1/so_369758.xlsx","so_369758")</f>
        <v>so_369758</v>
      </c>
      <c r="B268">
        <v>0.2</v>
      </c>
      <c r="C268">
        <v>0.2</v>
      </c>
      <c r="D268">
        <v>0.4</v>
      </c>
      <c r="E268">
        <v>0.4</v>
      </c>
      <c r="F268">
        <v>0.4</v>
      </c>
      <c r="G268">
        <v>0.55000000000000004</v>
      </c>
    </row>
    <row r="269" spans="1:7" x14ac:dyDescent="0.15">
      <c r="A269" t="str">
        <f>HYPERLINK("./new_k5/query_cmdrels_weight_analyze/0.1_0.8_0.1/so_3756323.xlsx","so_3756323")</f>
        <v>so_3756323</v>
      </c>
      <c r="B269">
        <v>0</v>
      </c>
      <c r="C269">
        <v>0.5</v>
      </c>
      <c r="D269">
        <v>0.16666666666666671</v>
      </c>
      <c r="E269">
        <v>0.83333333333333326</v>
      </c>
      <c r="F269">
        <v>0.16666666666666671</v>
      </c>
      <c r="G269">
        <v>0.83333333333333326</v>
      </c>
    </row>
    <row r="270" spans="1:7" x14ac:dyDescent="0.15">
      <c r="A270" t="str">
        <f>HYPERLINK("./new_k5/query_cmdrels_weight_analyze/0.1_0.8_0.1/so_3767267.xlsx","so_3767267")</f>
        <v>so_3767267</v>
      </c>
      <c r="B270">
        <v>0</v>
      </c>
      <c r="C270">
        <v>0</v>
      </c>
      <c r="D270">
        <v>6.6666666666666666E-2</v>
      </c>
      <c r="E270">
        <v>0.23333333333333331</v>
      </c>
      <c r="F270">
        <v>6.6666666666666666E-2</v>
      </c>
      <c r="G270">
        <v>0.23333333333333331</v>
      </c>
    </row>
    <row r="271" spans="1:7" x14ac:dyDescent="0.15">
      <c r="A271" t="str">
        <f>HYPERLINK("./new_k5/query_cmdrels_weight_analyze/0.1_0.8_0.1/so_3833578.xlsx","so_3833578")</f>
        <v>so_3833578</v>
      </c>
      <c r="B271">
        <v>0.33333333333333331</v>
      </c>
      <c r="C271">
        <v>0.33333333333333331</v>
      </c>
      <c r="D271">
        <v>0.33333333333333331</v>
      </c>
      <c r="E271">
        <v>0.66666666666666663</v>
      </c>
      <c r="F271">
        <v>0.33333333333333331</v>
      </c>
      <c r="G271">
        <v>0.66666666666666663</v>
      </c>
    </row>
    <row r="272" spans="1:7" x14ac:dyDescent="0.15">
      <c r="A272" t="str">
        <f>HYPERLINK("./new_k5/query_cmdrels_weight_analyze/0.1_0.8_0.1/so_3891076.xlsx","so_3891076")</f>
        <v>so_3891076</v>
      </c>
      <c r="B272">
        <v>0.25</v>
      </c>
      <c r="C272">
        <v>0.25</v>
      </c>
      <c r="D272">
        <v>0.25</v>
      </c>
      <c r="E272">
        <v>0.25</v>
      </c>
      <c r="F272">
        <v>0.25</v>
      </c>
      <c r="G272">
        <v>0.375</v>
      </c>
    </row>
    <row r="273" spans="1:7" x14ac:dyDescent="0.15">
      <c r="A273" t="str">
        <f>HYPERLINK("./new_k5/query_cmdrels_weight_analyze/0.1_0.8_0.1/so_3963085.xlsx","so_3963085")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 t="str">
        <f>HYPERLINK("./new_k5/query_cmdrels_weight_analyze/0.1_0.8_0.1/so_4325216.xlsx","so_4325216")</f>
        <v>so_4325216</v>
      </c>
      <c r="B274">
        <v>0.5</v>
      </c>
      <c r="C274">
        <v>0.5</v>
      </c>
      <c r="D274">
        <v>0.5</v>
      </c>
      <c r="E274">
        <v>1</v>
      </c>
      <c r="F274">
        <v>0.5</v>
      </c>
      <c r="G274">
        <v>1</v>
      </c>
    </row>
    <row r="275" spans="1:7" x14ac:dyDescent="0.15">
      <c r="A275" t="str">
        <f>HYPERLINK("./new_k5/query_cmdrels_weight_analyze/0.1_0.8_0.1/so_448005.xlsx","so_448005")</f>
        <v>so_448005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</row>
    <row r="276" spans="1:7" x14ac:dyDescent="0.15">
      <c r="A276" t="str">
        <f>HYPERLINK("./new_k5/query_cmdrels_weight_analyze/0.1_0.8_0.1/so_4921879.xlsx","so_4921879")</f>
        <v>so_4921879</v>
      </c>
      <c r="B276">
        <v>0.14285714285714279</v>
      </c>
      <c r="C276">
        <v>0.14285714285714279</v>
      </c>
      <c r="D276">
        <v>0.42857142857142849</v>
      </c>
      <c r="E276">
        <v>0.2857142857142857</v>
      </c>
      <c r="F276">
        <v>0.5714285714285714</v>
      </c>
      <c r="G276">
        <v>0.50714285714285712</v>
      </c>
    </row>
    <row r="277" spans="1:7" x14ac:dyDescent="0.15">
      <c r="A277" t="str">
        <f>HYPERLINK("./new_k5/query_cmdrels_weight_analyze/0.1_0.8_0.1/so_4922943.xlsx","so_4922943")</f>
        <v>so_4922943</v>
      </c>
      <c r="B277">
        <v>0.2</v>
      </c>
      <c r="C277">
        <v>0</v>
      </c>
      <c r="D277">
        <v>0.33333333333333331</v>
      </c>
      <c r="E277">
        <v>0.1</v>
      </c>
      <c r="F277">
        <v>0.33333333333333331</v>
      </c>
      <c r="G277">
        <v>0.18</v>
      </c>
    </row>
    <row r="278" spans="1:7" x14ac:dyDescent="0.15">
      <c r="A278" t="str">
        <f>HYPERLINK("./new_k5/query_cmdrels_weight_analyze/0.1_0.8_0.1/so_5119946.xlsx","so_5119946")</f>
        <v>so_5119946</v>
      </c>
      <c r="B278">
        <v>0.5</v>
      </c>
      <c r="C278">
        <v>0</v>
      </c>
      <c r="D278">
        <v>0.5</v>
      </c>
      <c r="E278">
        <v>0</v>
      </c>
      <c r="F278">
        <v>0.5</v>
      </c>
      <c r="G278">
        <v>0</v>
      </c>
    </row>
    <row r="279" spans="1:7" x14ac:dyDescent="0.15">
      <c r="A279" t="str">
        <f>HYPERLINK("./new_k5/query_cmdrels_weight_analyze/0.1_0.8_0.1/so_5164985.xlsx","so_5164985")</f>
        <v>so_5164985</v>
      </c>
      <c r="B279">
        <v>0</v>
      </c>
      <c r="C279">
        <v>0</v>
      </c>
      <c r="D279">
        <v>0</v>
      </c>
      <c r="E279">
        <v>0.16666666666666671</v>
      </c>
      <c r="F279">
        <v>0</v>
      </c>
      <c r="G279">
        <v>0.16666666666666671</v>
      </c>
    </row>
    <row r="280" spans="1:7" x14ac:dyDescent="0.15">
      <c r="A280" t="str">
        <f>HYPERLINK("./new_k5/query_cmdrels_weight_analyze/0.1_0.8_0.1/so_5306153.xlsx","so_5306153")</f>
        <v>so_5306153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15">
      <c r="A281" t="str">
        <f>HYPERLINK("./new_k5/query_cmdrels_weight_analyze/0.1_0.8_0.1/so_5566310.xlsx","so_5566310")</f>
        <v>so_5566310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</row>
    <row r="282" spans="1:7" x14ac:dyDescent="0.15">
      <c r="A282" t="str">
        <f>HYPERLINK("./new_k5/query_cmdrels_weight_analyze/0.1_0.8_0.1/so_5927369.xlsx","so_5927369")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15">
      <c r="A283" t="str">
        <f>HYPERLINK("./new_k5/query_cmdrels_weight_analyze/0.1_0.8_0.1/so_5947742.xlsx","so_5947742")</f>
        <v>so_5947742</v>
      </c>
      <c r="B283">
        <v>0.33333333333333331</v>
      </c>
      <c r="C283">
        <v>0.33333333333333331</v>
      </c>
      <c r="D283">
        <v>0.55555555555555547</v>
      </c>
      <c r="E283">
        <v>0.55555555555555547</v>
      </c>
      <c r="F283">
        <v>0.55555555555555547</v>
      </c>
      <c r="G283">
        <v>0.55555555555555547</v>
      </c>
    </row>
    <row r="284" spans="1:7" x14ac:dyDescent="0.15">
      <c r="A284" t="str">
        <f>HYPERLINK("./new_k5/query_cmdrels_weight_analyze/0.1_0.8_0.1/so_614795.xlsx","so_614795")</f>
        <v>so_614795</v>
      </c>
      <c r="B284">
        <v>0</v>
      </c>
      <c r="C284">
        <v>0.33333333333333331</v>
      </c>
      <c r="D284">
        <v>0</v>
      </c>
      <c r="E284">
        <v>0.33333333333333331</v>
      </c>
      <c r="F284">
        <v>0</v>
      </c>
      <c r="G284">
        <v>0.33333333333333331</v>
      </c>
    </row>
    <row r="285" spans="1:7" x14ac:dyDescent="0.15">
      <c r="A285" t="str">
        <f>HYPERLINK("./new_k5/query_cmdrels_weight_analyze/0.1_0.8_0.1/so_6207573.xlsx","so_6207573")</f>
        <v>so_6207573</v>
      </c>
      <c r="B285">
        <v>0.14285714285714279</v>
      </c>
      <c r="C285">
        <v>0.14285714285714279</v>
      </c>
      <c r="D285">
        <v>0.2857142857142857</v>
      </c>
      <c r="E285">
        <v>0.2857142857142857</v>
      </c>
      <c r="F285">
        <v>0.37142857142857139</v>
      </c>
      <c r="G285">
        <v>0.39285714285714279</v>
      </c>
    </row>
    <row r="286" spans="1:7" x14ac:dyDescent="0.15">
      <c r="A286" t="str">
        <f>HYPERLINK("./new_k5/query_cmdrels_weight_analyze/0.1_0.8_0.1/so_6283167.xlsx","so_6283167")</f>
        <v>so_6283167</v>
      </c>
      <c r="B286">
        <v>0.25</v>
      </c>
      <c r="C286">
        <v>0.25</v>
      </c>
      <c r="D286">
        <v>0.25</v>
      </c>
      <c r="E286">
        <v>0.5</v>
      </c>
      <c r="F286">
        <v>0.25</v>
      </c>
      <c r="G286">
        <v>0.5</v>
      </c>
    </row>
    <row r="287" spans="1:7" x14ac:dyDescent="0.15">
      <c r="A287" t="str">
        <f>HYPERLINK("./new_k5/query_cmdrels_weight_analyze/0.1_0.8_0.1/so_6329505.xlsx","so_6329505")</f>
        <v>so_6329505</v>
      </c>
      <c r="B287">
        <v>0</v>
      </c>
      <c r="C287">
        <v>0</v>
      </c>
      <c r="D287">
        <v>0.1</v>
      </c>
      <c r="E287">
        <v>0.1</v>
      </c>
      <c r="F287">
        <v>0.18</v>
      </c>
      <c r="G287">
        <v>0.1</v>
      </c>
    </row>
    <row r="288" spans="1:7" x14ac:dyDescent="0.15">
      <c r="A288" t="str">
        <f>HYPERLINK("./new_k5/query_cmdrels_weight_analyze/0.1_0.8_0.1/so_6423532.xlsx","so_6423532")</f>
        <v>so_6423532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</row>
    <row r="289" spans="1:7" x14ac:dyDescent="0.15">
      <c r="A289" t="str">
        <f>HYPERLINK("./new_k5/query_cmdrels_weight_analyze/0.1_0.8_0.1/so_669438.xlsx","so_669438")</f>
        <v>so_669438</v>
      </c>
      <c r="B289">
        <v>0.2</v>
      </c>
      <c r="C289">
        <v>0.2</v>
      </c>
      <c r="D289">
        <v>0.6</v>
      </c>
      <c r="E289">
        <v>0.2</v>
      </c>
      <c r="F289">
        <v>0.6</v>
      </c>
      <c r="G289">
        <v>0.2</v>
      </c>
    </row>
    <row r="290" spans="1:7" x14ac:dyDescent="0.15">
      <c r="A290" t="str">
        <f>HYPERLINK("./new_k5/query_cmdrels_weight_analyze/0.1_0.8_0.1/so_7052875.xlsx","so_7052875")</f>
        <v>so_7052875</v>
      </c>
      <c r="B290">
        <v>0.2</v>
      </c>
      <c r="C290">
        <v>0</v>
      </c>
      <c r="D290">
        <v>0.2</v>
      </c>
      <c r="E290">
        <v>6.6666666666666666E-2</v>
      </c>
      <c r="F290">
        <v>0.2</v>
      </c>
      <c r="G290">
        <v>0.28666666666666663</v>
      </c>
    </row>
    <row r="291" spans="1:7" x14ac:dyDescent="0.15">
      <c r="A291" t="str">
        <f>HYPERLINK("./new_k5/query_cmdrels_weight_analyze/0.1_0.8_0.1/so_7221757.xlsx","so_7221757")</f>
        <v>so_7221757</v>
      </c>
      <c r="B291">
        <v>0.2</v>
      </c>
      <c r="C291">
        <v>0.2</v>
      </c>
      <c r="D291">
        <v>0.2</v>
      </c>
      <c r="E291">
        <v>0.4</v>
      </c>
      <c r="F291">
        <v>0.2</v>
      </c>
      <c r="G291">
        <v>0.4</v>
      </c>
    </row>
    <row r="292" spans="1:7" x14ac:dyDescent="0.15">
      <c r="A292" t="str">
        <f>HYPERLINK("./new_k5/query_cmdrels_weight_analyze/0.1_0.8_0.1/so_750604.xlsx","so_750604")</f>
        <v>so_750604</v>
      </c>
      <c r="B292">
        <v>0</v>
      </c>
      <c r="C292">
        <v>0</v>
      </c>
      <c r="D292">
        <v>0.1111111111111111</v>
      </c>
      <c r="E292">
        <v>0</v>
      </c>
      <c r="F292">
        <v>0.1111111111111111</v>
      </c>
      <c r="G292">
        <v>0</v>
      </c>
    </row>
    <row r="293" spans="1:7" x14ac:dyDescent="0.15">
      <c r="A293" t="str">
        <f>HYPERLINK("./new_k5/query_cmdrels_weight_analyze/0.1_0.8_0.1/so_7575267.xlsx","so_7575267")</f>
        <v>so_7575267</v>
      </c>
      <c r="B293">
        <v>0</v>
      </c>
      <c r="C293">
        <v>0.25</v>
      </c>
      <c r="D293">
        <v>0</v>
      </c>
      <c r="E293">
        <v>0.5</v>
      </c>
      <c r="F293">
        <v>0</v>
      </c>
      <c r="G293">
        <v>0.6875</v>
      </c>
    </row>
    <row r="294" spans="1:7" x14ac:dyDescent="0.15">
      <c r="A294" t="str">
        <f>HYPERLINK("./new_k5/query_cmdrels_weight_analyze/0.1_0.8_0.1/so_7698488.xlsx","so_7698488")</f>
        <v>so_7698488</v>
      </c>
      <c r="B294">
        <v>0</v>
      </c>
      <c r="C294">
        <v>0</v>
      </c>
      <c r="D294">
        <v>0</v>
      </c>
      <c r="E294">
        <v>8.3333333333333329E-2</v>
      </c>
      <c r="F294">
        <v>0</v>
      </c>
      <c r="G294">
        <v>0.18333333333333329</v>
      </c>
    </row>
    <row r="295" spans="1:7" x14ac:dyDescent="0.15">
      <c r="A295" t="str">
        <f>HYPERLINK("./new_k5/query_cmdrels_weight_analyze/0.1_0.8_0.1/so_801095.xlsx","so_801095")</f>
        <v>so_801095</v>
      </c>
      <c r="B295">
        <v>0.33333333333333331</v>
      </c>
      <c r="C295">
        <v>0.33333333333333331</v>
      </c>
      <c r="D295">
        <v>0.33333333333333331</v>
      </c>
      <c r="E295">
        <v>0.55555555555555547</v>
      </c>
      <c r="F295">
        <v>0.33333333333333331</v>
      </c>
      <c r="G295">
        <v>0.75555555555555554</v>
      </c>
    </row>
    <row r="296" spans="1:7" x14ac:dyDescent="0.15">
      <c r="A296" t="str">
        <f>HYPERLINK("./new_k5/query_cmdrels_weight_analyze/0.1_0.8_0.1/so_8249705.xlsx","so_8249705")</f>
        <v>so_8249705</v>
      </c>
      <c r="B296">
        <v>0.5</v>
      </c>
      <c r="C296">
        <v>0.5</v>
      </c>
      <c r="D296">
        <v>0.83333333333333326</v>
      </c>
      <c r="E296">
        <v>1</v>
      </c>
      <c r="F296">
        <v>0.83333333333333326</v>
      </c>
      <c r="G296">
        <v>1</v>
      </c>
    </row>
    <row r="297" spans="1:7" x14ac:dyDescent="0.15">
      <c r="A297" t="str">
        <f>HYPERLINK("./new_k5/query_cmdrels_weight_analyze/0.1_0.8_0.1/so_8423541.xlsx","so_8423541")</f>
        <v>so_8423541</v>
      </c>
      <c r="B297">
        <v>0.33333333333333331</v>
      </c>
      <c r="C297">
        <v>0.33333333333333331</v>
      </c>
      <c r="D297">
        <v>0.33333333333333331</v>
      </c>
      <c r="E297">
        <v>0.66666666666666663</v>
      </c>
      <c r="F297">
        <v>0.33333333333333331</v>
      </c>
      <c r="G297">
        <v>0.66666666666666663</v>
      </c>
    </row>
    <row r="298" spans="1:7" x14ac:dyDescent="0.15">
      <c r="A298" t="str">
        <f>HYPERLINK("./new_k5/query_cmdrels_weight_analyze/0.1_0.8_0.1/so_8654051.xlsx","so_8654051")</f>
        <v>so_8654051</v>
      </c>
      <c r="B298">
        <v>0</v>
      </c>
      <c r="C298">
        <v>0.25</v>
      </c>
      <c r="D298">
        <v>0.125</v>
      </c>
      <c r="E298">
        <v>0.5</v>
      </c>
      <c r="F298">
        <v>0.125</v>
      </c>
      <c r="G298">
        <v>0.6875</v>
      </c>
    </row>
    <row r="299" spans="1:7" x14ac:dyDescent="0.15">
      <c r="A299" t="str">
        <f>HYPERLINK("./new_k5/query_cmdrels_weight_analyze/0.1_0.8_0.1/so_890262.xlsx","so_890262")</f>
        <v>so_890262</v>
      </c>
      <c r="B299">
        <v>0</v>
      </c>
      <c r="C299">
        <v>0</v>
      </c>
      <c r="D299">
        <v>0</v>
      </c>
      <c r="E299">
        <v>0.1111111111111111</v>
      </c>
      <c r="F299">
        <v>0</v>
      </c>
      <c r="G299">
        <v>0.27777777777777768</v>
      </c>
    </row>
    <row r="300" spans="1:7" x14ac:dyDescent="0.15">
      <c r="A300" t="str">
        <f>HYPERLINK("./new_k5/query_cmdrels_weight_analyze/0.1_0.8_0.1/so_893585.xlsx","so_893585")</f>
        <v>so_893585</v>
      </c>
      <c r="B300">
        <v>0.14285714285714279</v>
      </c>
      <c r="C300">
        <v>0.14285714285714279</v>
      </c>
      <c r="D300">
        <v>0.14285714285714279</v>
      </c>
      <c r="E300">
        <v>0.42857142857142849</v>
      </c>
      <c r="F300">
        <v>0.14285714285714279</v>
      </c>
      <c r="G300">
        <v>0.42857142857142849</v>
      </c>
    </row>
    <row r="301" spans="1:7" x14ac:dyDescent="0.15">
      <c r="A301" t="str">
        <f>HYPERLINK("./new_k5/query_cmdrels_weight_analyze/0.1_0.8_0.1/so_9223460.xlsx","so_9223460")</f>
        <v>so_9223460</v>
      </c>
      <c r="B301">
        <v>0.33333333333333331</v>
      </c>
      <c r="C301">
        <v>0</v>
      </c>
      <c r="D301">
        <v>0.33333333333333331</v>
      </c>
      <c r="E301">
        <v>0.16666666666666671</v>
      </c>
      <c r="F301">
        <v>0.33333333333333331</v>
      </c>
      <c r="G301">
        <v>0.33333333333333331</v>
      </c>
    </row>
    <row r="302" spans="1:7" x14ac:dyDescent="0.15">
      <c r="A302" t="str">
        <f>HYPERLINK("./new_k5/query_cmdrels_weight_analyze/0.1_0.8_0.1/so_9245638.xlsx","so_9245638")</f>
        <v>so_9245638</v>
      </c>
      <c r="B302">
        <v>0.33333333333333331</v>
      </c>
      <c r="C302">
        <v>0.33333333333333331</v>
      </c>
      <c r="D302">
        <v>0.55555555555555547</v>
      </c>
      <c r="E302">
        <v>0.33333333333333331</v>
      </c>
      <c r="F302">
        <v>0.55555555555555547</v>
      </c>
      <c r="G302">
        <v>0.5</v>
      </c>
    </row>
    <row r="303" spans="1:7" x14ac:dyDescent="0.15">
      <c r="A303" t="str">
        <f>HYPERLINK("./new_k5/query_cmdrels_weight_analyze/0.1_0.8_0.1/so_9304953.xlsx","so_9304953")</f>
        <v>so_9304953</v>
      </c>
      <c r="B303">
        <v>0.2</v>
      </c>
      <c r="C303">
        <v>0.2</v>
      </c>
      <c r="D303">
        <v>0.6</v>
      </c>
      <c r="E303">
        <v>0.6</v>
      </c>
      <c r="F303">
        <v>0.6</v>
      </c>
      <c r="G303">
        <v>0.6</v>
      </c>
    </row>
    <row r="304" spans="1:7" x14ac:dyDescent="0.15">
      <c r="A304" t="str">
        <f>HYPERLINK("./new_k5/query_cmdrels_weight_analyze/0.1_0.8_0.1/so_9361816.xlsx","so_9361816")</f>
        <v>so_9361816</v>
      </c>
      <c r="B304">
        <v>0</v>
      </c>
      <c r="C304">
        <v>0</v>
      </c>
      <c r="D304">
        <v>0.33333333333333331</v>
      </c>
      <c r="E304">
        <v>0</v>
      </c>
      <c r="F304">
        <v>0.33333333333333331</v>
      </c>
      <c r="G304">
        <v>0</v>
      </c>
    </row>
    <row r="305" spans="1:7" x14ac:dyDescent="0.15">
      <c r="A305" t="str">
        <f>HYPERLINK("./new_k5/query_cmdrels_weight_analyze/0.1_0.8_0.1/su_116617.xlsx","su_116617")</f>
        <v>su_116617</v>
      </c>
      <c r="B305">
        <v>0</v>
      </c>
      <c r="C305">
        <v>0.33333333333333331</v>
      </c>
      <c r="D305">
        <v>0</v>
      </c>
      <c r="E305">
        <v>0.33333333333333331</v>
      </c>
      <c r="F305">
        <v>8.3333333333333329E-2</v>
      </c>
      <c r="G305">
        <v>0.33333333333333331</v>
      </c>
    </row>
    <row r="306" spans="1:7" x14ac:dyDescent="0.15">
      <c r="A306" t="str">
        <f>HYPERLINK("./new_k5/query_cmdrels_weight_analyze/0.1_0.8_0.1/su_120045.xlsx","su_120045")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15">
      <c r="A307" t="str">
        <f>HYPERLINK("./new_k5/query_cmdrels_weight_analyze/0.1_0.8_0.1/su_127863.xlsx","su_127863")</f>
        <v>su_127863</v>
      </c>
      <c r="B307">
        <v>0</v>
      </c>
      <c r="C307">
        <v>0</v>
      </c>
      <c r="D307">
        <v>0.25</v>
      </c>
      <c r="E307">
        <v>0</v>
      </c>
      <c r="F307">
        <v>0.25</v>
      </c>
      <c r="G307">
        <v>0.32500000000000001</v>
      </c>
    </row>
    <row r="308" spans="1:7" x14ac:dyDescent="0.15">
      <c r="A308" t="str">
        <f>HYPERLINK("./new_k5/query_cmdrels_weight_analyze/0.1_0.8_0.1/su_135498.xlsx","su_135498")</f>
        <v>su_135498</v>
      </c>
      <c r="B308">
        <v>0</v>
      </c>
      <c r="C308">
        <v>0</v>
      </c>
      <c r="D308">
        <v>0.5</v>
      </c>
      <c r="E308">
        <v>0</v>
      </c>
      <c r="F308">
        <v>0.5</v>
      </c>
      <c r="G308">
        <v>0</v>
      </c>
    </row>
    <row r="309" spans="1:7" x14ac:dyDescent="0.15">
      <c r="A309" t="str">
        <f>HYPERLINK("./new_k5/query_cmdrels_weight_analyze/0.1_0.8_0.1/su_147027.xlsx","su_147027")</f>
        <v>su_147027</v>
      </c>
      <c r="B309">
        <v>0</v>
      </c>
      <c r="C309">
        <v>0</v>
      </c>
      <c r="D309">
        <v>0.33333333333333331</v>
      </c>
      <c r="E309">
        <v>0</v>
      </c>
      <c r="F309">
        <v>0.33333333333333331</v>
      </c>
      <c r="G309">
        <v>0</v>
      </c>
    </row>
    <row r="310" spans="1:7" x14ac:dyDescent="0.15">
      <c r="A310" t="str">
        <f>HYPERLINK("./new_k5/query_cmdrels_weight_analyze/0.1_0.8_0.1/su_151911.xlsx","su_151911")</f>
        <v>su_151911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0.05</v>
      </c>
    </row>
    <row r="311" spans="1:7" x14ac:dyDescent="0.15">
      <c r="A311" t="str">
        <f>HYPERLINK("./new_k5/query_cmdrels_weight_analyze/0.1_0.8_0.1/su_153415.xlsx","su_153415")</f>
        <v>su_153415</v>
      </c>
      <c r="B311">
        <v>0.5</v>
      </c>
      <c r="C311">
        <v>0</v>
      </c>
      <c r="D311">
        <v>0.5</v>
      </c>
      <c r="E311">
        <v>0.25</v>
      </c>
      <c r="F311">
        <v>0.5</v>
      </c>
      <c r="G311">
        <v>0.25</v>
      </c>
    </row>
    <row r="312" spans="1:7" x14ac:dyDescent="0.15">
      <c r="A312" t="str">
        <f>HYPERLINK("./new_k5/query_cmdrels_weight_analyze/0.1_0.8_0.1/su_156189.xlsx","su_156189")</f>
        <v>su_156189</v>
      </c>
      <c r="B312">
        <v>0.16666666666666671</v>
      </c>
      <c r="C312">
        <v>0.16666666666666671</v>
      </c>
      <c r="D312">
        <v>0.16666666666666671</v>
      </c>
      <c r="E312">
        <v>0.27777777777777768</v>
      </c>
      <c r="F312">
        <v>0.16666666666666671</v>
      </c>
      <c r="G312">
        <v>0.27777777777777768</v>
      </c>
    </row>
    <row r="313" spans="1:7" x14ac:dyDescent="0.15">
      <c r="A313" t="str">
        <f>HYPERLINK("./new_k5/query_cmdrels_weight_analyze/0.1_0.8_0.1/su_161531.xlsx","su_161531")</f>
        <v>su_161531</v>
      </c>
      <c r="B313">
        <v>0.33333333333333331</v>
      </c>
      <c r="C313">
        <v>0.33333333333333331</v>
      </c>
      <c r="D313">
        <v>0.55555555555555547</v>
      </c>
      <c r="E313">
        <v>0.66666666666666663</v>
      </c>
      <c r="F313">
        <v>0.55555555555555547</v>
      </c>
      <c r="G313">
        <v>0.91666666666666663</v>
      </c>
    </row>
    <row r="314" spans="1:7" x14ac:dyDescent="0.15">
      <c r="A314" t="str">
        <f>HYPERLINK("./new_k5/query_cmdrels_weight_analyze/0.1_0.8_0.1/su_204209.xlsx","su_204209")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 t="str">
        <f>HYPERLINK("./new_k5/query_cmdrels_weight_analyze/0.1_0.8_0.1/su_214390.xlsx","su_214390")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15">
      <c r="A316" t="str">
        <f>HYPERLINK("./new_k5/query_cmdrels_weight_analyze/0.1_0.8_0.1/su_215483.xlsx","su_215483")</f>
        <v>su_215483</v>
      </c>
      <c r="B316">
        <v>0.5</v>
      </c>
      <c r="C316">
        <v>0.5</v>
      </c>
      <c r="D316">
        <v>1</v>
      </c>
      <c r="E316">
        <v>0.5</v>
      </c>
      <c r="F316">
        <v>1</v>
      </c>
      <c r="G316">
        <v>0.5</v>
      </c>
    </row>
    <row r="317" spans="1:7" x14ac:dyDescent="0.15">
      <c r="A317" t="str">
        <f>HYPERLINK("./new_k5/query_cmdrels_weight_analyze/0.1_0.8_0.1/su_215504.xlsx","su_215504")</f>
        <v>su_215504</v>
      </c>
      <c r="B317">
        <v>0</v>
      </c>
      <c r="C317">
        <v>0</v>
      </c>
      <c r="D317">
        <v>0.29166666666666657</v>
      </c>
      <c r="E317">
        <v>0.125</v>
      </c>
      <c r="F317">
        <v>0.44166666666666671</v>
      </c>
      <c r="G317">
        <v>0.4</v>
      </c>
    </row>
    <row r="318" spans="1:7" x14ac:dyDescent="0.15">
      <c r="A318" t="str">
        <f>HYPERLINK("./new_k5/query_cmdrels_weight_analyze/0.1_0.8_0.1/su_227385.xlsx","su_227385")</f>
        <v>su_227385</v>
      </c>
      <c r="B318">
        <v>0</v>
      </c>
      <c r="C318">
        <v>0</v>
      </c>
      <c r="D318">
        <v>0</v>
      </c>
      <c r="E318">
        <v>8.3333333333333329E-2</v>
      </c>
      <c r="F318">
        <v>0</v>
      </c>
      <c r="G318">
        <v>8.3333333333333329E-2</v>
      </c>
    </row>
    <row r="319" spans="1:7" x14ac:dyDescent="0.15">
      <c r="A319" t="str">
        <f>HYPERLINK("./new_k5/query_cmdrels_weight_analyze/0.1_0.8_0.1/su_273254.xlsx","su_273254")</f>
        <v>su_273254</v>
      </c>
      <c r="B319">
        <v>0</v>
      </c>
      <c r="C319">
        <v>1</v>
      </c>
      <c r="D319">
        <v>0</v>
      </c>
      <c r="E319">
        <v>1</v>
      </c>
      <c r="F319">
        <v>0.25</v>
      </c>
      <c r="G319">
        <v>1</v>
      </c>
    </row>
    <row r="320" spans="1:7" x14ac:dyDescent="0.15">
      <c r="A320" t="str">
        <f>HYPERLINK("./new_k5/query_cmdrels_weight_analyze/0.1_0.8_0.1/su_294161.xlsx","su_294161")</f>
        <v>su_294161</v>
      </c>
      <c r="B320">
        <v>0.33333333333333331</v>
      </c>
      <c r="C320">
        <v>0.33333333333333331</v>
      </c>
      <c r="D320">
        <v>1</v>
      </c>
      <c r="E320">
        <v>0.66666666666666663</v>
      </c>
      <c r="F320">
        <v>1</v>
      </c>
      <c r="G320">
        <v>0.91666666666666663</v>
      </c>
    </row>
    <row r="321" spans="1:7" x14ac:dyDescent="0.15">
      <c r="A321" t="str">
        <f>HYPERLINK("./new_k5/query_cmdrels_weight_analyze/0.1_0.8_0.1/su_302396.xlsx","su_302396")</f>
        <v>su_302396</v>
      </c>
      <c r="B321">
        <v>0.16666666666666671</v>
      </c>
      <c r="C321">
        <v>0.16666666666666671</v>
      </c>
      <c r="D321">
        <v>0.33333333333333331</v>
      </c>
      <c r="E321">
        <v>0.5</v>
      </c>
      <c r="F321">
        <v>0.45833333333333331</v>
      </c>
      <c r="G321">
        <v>0.6333333333333333</v>
      </c>
    </row>
    <row r="322" spans="1:7" x14ac:dyDescent="0.15">
      <c r="A322" t="str">
        <f>HYPERLINK("./new_k5/query_cmdrels_weight_analyze/0.1_0.8_0.1/su_303981.xlsx","su_303981")</f>
        <v>su_303981</v>
      </c>
      <c r="B322">
        <v>0.16666666666666671</v>
      </c>
      <c r="C322">
        <v>0.16666666666666671</v>
      </c>
      <c r="D322">
        <v>0.5</v>
      </c>
      <c r="E322">
        <v>0.33333333333333331</v>
      </c>
      <c r="F322">
        <v>0.5</v>
      </c>
      <c r="G322">
        <v>0.33333333333333331</v>
      </c>
    </row>
    <row r="323" spans="1:7" x14ac:dyDescent="0.15">
      <c r="A323" t="str">
        <f>HYPERLINK("./new_k5/query_cmdrels_weight_analyze/0.1_0.8_0.1/su_305128.xlsx","su_305128")</f>
        <v>su_305128</v>
      </c>
      <c r="B323">
        <v>0.5</v>
      </c>
      <c r="C323">
        <v>0.5</v>
      </c>
      <c r="D323">
        <v>1</v>
      </c>
      <c r="E323">
        <v>0.5</v>
      </c>
      <c r="F323">
        <v>1</v>
      </c>
      <c r="G323">
        <v>0.5</v>
      </c>
    </row>
    <row r="324" spans="1:7" x14ac:dyDescent="0.15">
      <c r="A324" t="str">
        <f>HYPERLINK("./new_k5/query_cmdrels_weight_analyze/0.1_0.8_0.1/su_31512.xlsx","su_31512")</f>
        <v>su_31512</v>
      </c>
      <c r="B324">
        <v>0.25</v>
      </c>
      <c r="C324">
        <v>0.25</v>
      </c>
      <c r="D324">
        <v>0.41666666666666657</v>
      </c>
      <c r="E324">
        <v>0.25</v>
      </c>
      <c r="F324">
        <v>0.41666666666666657</v>
      </c>
      <c r="G324">
        <v>0.25</v>
      </c>
    </row>
    <row r="325" spans="1:7" x14ac:dyDescent="0.15">
      <c r="A325" t="str">
        <f>HYPERLINK("./new_k5/query_cmdrels_weight_analyze/0.1_0.8_0.1/su_380520.xlsx","su_380520")</f>
        <v>su_380520</v>
      </c>
      <c r="B325">
        <v>0.33333333333333331</v>
      </c>
      <c r="C325">
        <v>0</v>
      </c>
      <c r="D325">
        <v>0.33333333333333331</v>
      </c>
      <c r="E325">
        <v>0.16666666666666671</v>
      </c>
      <c r="F325">
        <v>0.33333333333333331</v>
      </c>
      <c r="G325">
        <v>0.3</v>
      </c>
    </row>
    <row r="326" spans="1:7" x14ac:dyDescent="0.15">
      <c r="A326" t="str">
        <f>HYPERLINK("./new_k5/query_cmdrels_weight_analyze/0.1_0.8_0.1/su_38981.xlsx","su_38981")</f>
        <v>su_38981</v>
      </c>
      <c r="B326">
        <v>0.33333333333333331</v>
      </c>
      <c r="C326">
        <v>0.33333333333333331</v>
      </c>
      <c r="D326">
        <v>0.33333333333333331</v>
      </c>
      <c r="E326">
        <v>0.33333333333333331</v>
      </c>
      <c r="F326">
        <v>0.33333333333333331</v>
      </c>
      <c r="G326">
        <v>0.5</v>
      </c>
    </row>
    <row r="327" spans="1:7" x14ac:dyDescent="0.15">
      <c r="A327" t="str">
        <f>HYPERLINK("./new_k5/query_cmdrels_weight_analyze/0.1_0.8_0.1/su_437330.xlsx","su_437330")</f>
        <v>su_437330</v>
      </c>
      <c r="B327">
        <v>0.33333333333333331</v>
      </c>
      <c r="C327">
        <v>0.33333333333333331</v>
      </c>
      <c r="D327">
        <v>0.33333333333333331</v>
      </c>
      <c r="E327">
        <v>0.33333333333333331</v>
      </c>
      <c r="F327">
        <v>0.33333333333333331</v>
      </c>
      <c r="G327">
        <v>0.33333333333333331</v>
      </c>
    </row>
    <row r="328" spans="1:7" x14ac:dyDescent="0.15">
      <c r="A328" t="str">
        <f>HYPERLINK("./new_k5/query_cmdrels_weight_analyze/0.1_0.8_0.1/su_441379.xlsx","su_441379")</f>
        <v>su_441379</v>
      </c>
      <c r="B328">
        <v>0.125</v>
      </c>
      <c r="C328">
        <v>0.125</v>
      </c>
      <c r="D328">
        <v>0.20833333333333329</v>
      </c>
      <c r="E328">
        <v>0.375</v>
      </c>
      <c r="F328">
        <v>0.30208333333333331</v>
      </c>
      <c r="G328">
        <v>0.5</v>
      </c>
    </row>
    <row r="329" spans="1:7" x14ac:dyDescent="0.15">
      <c r="A329" t="str">
        <f>HYPERLINK("./new_k5/query_cmdrels_weight_analyze/0.1_0.8_0.1/su_462788.xlsx","su_462788")</f>
        <v>su_462788</v>
      </c>
      <c r="B329">
        <v>0.1111111111111111</v>
      </c>
      <c r="C329">
        <v>0.1111111111111111</v>
      </c>
      <c r="D329">
        <v>0.22222222222222221</v>
      </c>
      <c r="E329">
        <v>0.22222222222222221</v>
      </c>
      <c r="F329">
        <v>0.30555555555555558</v>
      </c>
      <c r="G329">
        <v>0.30555555555555558</v>
      </c>
    </row>
    <row r="330" spans="1:7" x14ac:dyDescent="0.15">
      <c r="A330" t="str">
        <f>HYPERLINK("./new_k5/query_cmdrels_weight_analyze/0.1_0.8_0.1/su_626606.xlsx","su_626606")</f>
        <v>su_626606</v>
      </c>
      <c r="B330">
        <v>0.16666666666666671</v>
      </c>
      <c r="C330">
        <v>0.16666666666666671</v>
      </c>
      <c r="D330">
        <v>0.5</v>
      </c>
      <c r="E330">
        <v>0.33333333333333331</v>
      </c>
      <c r="F330">
        <v>0.83333333333333337</v>
      </c>
      <c r="G330">
        <v>0.45833333333333331</v>
      </c>
    </row>
    <row r="331" spans="1:7" x14ac:dyDescent="0.15">
      <c r="A331" t="str">
        <f>HYPERLINK("./new_k5/query_cmdrels_weight_analyze/0.1_0.8_0.1/su_634469.xlsx","su_634469")</f>
        <v>su_634469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15">
      <c r="A332" t="str">
        <f>HYPERLINK("./new_k5/query_cmdrels_weight_analyze/0.1_0.8_0.1/su_638616.xlsx","su_638616")</f>
        <v>su_638616</v>
      </c>
      <c r="B332">
        <v>0</v>
      </c>
      <c r="C332">
        <v>0.25</v>
      </c>
      <c r="D332">
        <v>0.125</v>
      </c>
      <c r="E332">
        <v>0.5</v>
      </c>
      <c r="F332">
        <v>0.125</v>
      </c>
      <c r="G332">
        <v>0.5</v>
      </c>
    </row>
    <row r="333" spans="1:7" x14ac:dyDescent="0.15">
      <c r="A333" t="str">
        <f>HYPERLINK("./new_k5/query_cmdrels_weight_analyze/0.1_0.8_0.1/su_678113.xlsx","su_678113")</f>
        <v>su_678113</v>
      </c>
      <c r="B333">
        <v>0</v>
      </c>
      <c r="C333">
        <v>0.5</v>
      </c>
      <c r="D333">
        <v>0</v>
      </c>
      <c r="E333">
        <v>0.5</v>
      </c>
      <c r="F333">
        <v>0</v>
      </c>
      <c r="G333">
        <v>0.5</v>
      </c>
    </row>
    <row r="334" spans="1:7" x14ac:dyDescent="0.15">
      <c r="A334" t="str">
        <f>HYPERLINK("./new_k5/query_cmdrels_weight_analyze/0.1_0.8_0.1/su_686394.xlsx","su_686394")</f>
        <v>su_686394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</row>
    <row r="335" spans="1:7" x14ac:dyDescent="0.15">
      <c r="A335" t="str">
        <f>HYPERLINK("./new_k5/query_cmdrels_weight_analyze/0.1_0.8_0.1/su_716795.xlsx","su_716795")</f>
        <v>su_716795</v>
      </c>
      <c r="B335">
        <v>0.5</v>
      </c>
      <c r="C335">
        <v>0</v>
      </c>
      <c r="D335">
        <v>0.83333333333333326</v>
      </c>
      <c r="E335">
        <v>0.16666666666666671</v>
      </c>
      <c r="F335">
        <v>0.83333333333333326</v>
      </c>
      <c r="G335">
        <v>0.16666666666666671</v>
      </c>
    </row>
    <row r="336" spans="1:7" x14ac:dyDescent="0.15">
      <c r="A336" t="str">
        <f>HYPERLINK("./new_k5/query_cmdrels_weight_analyze/0.1_0.8_0.1/su_758463.xlsx","su_758463")</f>
        <v>su_758463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</row>
    <row r="337" spans="1:7" x14ac:dyDescent="0.15">
      <c r="A337" t="str">
        <f>HYPERLINK("./new_k5/query_cmdrels_weight_analyze/0.1_0.8_0.1/su_766437.xlsx","su_766437")</f>
        <v>su_766437</v>
      </c>
      <c r="B337">
        <v>0</v>
      </c>
      <c r="C337">
        <v>0</v>
      </c>
      <c r="D337">
        <v>0</v>
      </c>
      <c r="E337">
        <v>6.6666666666666666E-2</v>
      </c>
      <c r="F337">
        <v>0.05</v>
      </c>
      <c r="G337">
        <v>0.28666666666666663</v>
      </c>
    </row>
    <row r="338" spans="1:7" x14ac:dyDescent="0.15">
      <c r="A338" t="str">
        <f>HYPERLINK("./new_k5/query_cmdrels_weight_analyze/0.1_0.8_0.1/su_904001.xlsx","su_904001")</f>
        <v>su_904001</v>
      </c>
      <c r="B338">
        <v>0.5</v>
      </c>
      <c r="C338">
        <v>0.5</v>
      </c>
      <c r="D338">
        <v>0.5</v>
      </c>
      <c r="E338">
        <v>0.5</v>
      </c>
      <c r="F338">
        <v>0.5</v>
      </c>
      <c r="G338">
        <v>0.5</v>
      </c>
    </row>
    <row r="339" spans="1:7" x14ac:dyDescent="0.15">
      <c r="A339" t="str">
        <f>HYPERLINK("./new_k5/query_cmdrels_weight_analyze/0.1_0.8_0.1/ul_100959.xlsx","ul_100959")</f>
        <v>ul_100959</v>
      </c>
      <c r="B339">
        <v>0</v>
      </c>
      <c r="C339">
        <v>0.5</v>
      </c>
      <c r="D339">
        <v>0.25</v>
      </c>
      <c r="E339">
        <v>0.83333333333333326</v>
      </c>
      <c r="F339">
        <v>0.25</v>
      </c>
      <c r="G339">
        <v>0.83333333333333326</v>
      </c>
    </row>
    <row r="340" spans="1:7" x14ac:dyDescent="0.15">
      <c r="A340" t="str">
        <f>HYPERLINK("./new_k5/query_cmdrels_weight_analyze/0.1_0.8_0.1/ul_101073.xlsx","ul_101073")</f>
        <v>ul_101073</v>
      </c>
      <c r="B340">
        <v>0.33333333333333331</v>
      </c>
      <c r="C340">
        <v>0</v>
      </c>
      <c r="D340">
        <v>0.33333333333333331</v>
      </c>
      <c r="E340">
        <v>0.1111111111111111</v>
      </c>
      <c r="F340">
        <v>0.33333333333333331</v>
      </c>
      <c r="G340">
        <v>0.24444444444444449</v>
      </c>
    </row>
    <row r="341" spans="1:7" x14ac:dyDescent="0.15">
      <c r="A341" t="str">
        <f>HYPERLINK("./new_k5/query_cmdrels_weight_analyze/0.1_0.8_0.1/ul_101237.xlsx","ul_101237")</f>
        <v>ul_101237</v>
      </c>
      <c r="B341">
        <v>0</v>
      </c>
      <c r="C341">
        <v>0.5</v>
      </c>
      <c r="D341">
        <v>0.25</v>
      </c>
      <c r="E341">
        <v>1</v>
      </c>
      <c r="F341">
        <v>0.25</v>
      </c>
      <c r="G341">
        <v>1</v>
      </c>
    </row>
    <row r="342" spans="1:7" x14ac:dyDescent="0.15">
      <c r="A342" t="str">
        <f>HYPERLINK("./new_k5/query_cmdrels_weight_analyze/0.1_0.8_0.1/ul_102752.xlsx","ul_102752")</f>
        <v>ul_102752</v>
      </c>
      <c r="B342">
        <v>0</v>
      </c>
      <c r="C342">
        <v>0.25</v>
      </c>
      <c r="D342">
        <v>0.29166666666666657</v>
      </c>
      <c r="E342">
        <v>0.41666666666666657</v>
      </c>
      <c r="F342">
        <v>0.29166666666666657</v>
      </c>
      <c r="G342">
        <v>0.60416666666666663</v>
      </c>
    </row>
    <row r="343" spans="1:7" x14ac:dyDescent="0.15">
      <c r="A343" t="str">
        <f>HYPERLINK("./new_k5/query_cmdrels_weight_analyze/0.1_0.8_0.1/ul_108174.xlsx","ul_108174")</f>
        <v>ul_108174</v>
      </c>
      <c r="B343">
        <v>0</v>
      </c>
      <c r="C343">
        <v>0</v>
      </c>
      <c r="D343">
        <v>0.16666666666666671</v>
      </c>
      <c r="E343">
        <v>0</v>
      </c>
      <c r="F343">
        <v>0.16666666666666671</v>
      </c>
      <c r="G343">
        <v>0</v>
      </c>
    </row>
    <row r="344" spans="1:7" x14ac:dyDescent="0.15">
      <c r="A344" t="str">
        <f>HYPERLINK("./new_k5/query_cmdrels_weight_analyze/0.1_0.8_0.1/ul_109536.xlsx","ul_109536")</f>
        <v>ul_109536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 t="str">
        <f>HYPERLINK("./new_k5/query_cmdrels_weight_analyze/0.1_0.8_0.1/ul_112050.xlsx","ul_112050")</f>
        <v>ul_112050</v>
      </c>
      <c r="B345">
        <v>0</v>
      </c>
      <c r="C345">
        <v>0.25</v>
      </c>
      <c r="D345">
        <v>0.125</v>
      </c>
      <c r="E345">
        <v>0.5</v>
      </c>
      <c r="F345">
        <v>0.125</v>
      </c>
      <c r="G345">
        <v>0.65</v>
      </c>
    </row>
    <row r="346" spans="1:7" x14ac:dyDescent="0.15">
      <c r="A346" t="str">
        <f>HYPERLINK("./new_k5/query_cmdrels_weight_analyze/0.1_0.8_0.1/ul_116070.xlsx","ul_116070")</f>
        <v>ul_116070</v>
      </c>
      <c r="B346">
        <v>0.16666666666666671</v>
      </c>
      <c r="C346">
        <v>0.16666666666666671</v>
      </c>
      <c r="D346">
        <v>0.33333333333333331</v>
      </c>
      <c r="E346">
        <v>0.5</v>
      </c>
      <c r="F346">
        <v>0.45833333333333331</v>
      </c>
      <c r="G346">
        <v>0.5</v>
      </c>
    </row>
    <row r="347" spans="1:7" x14ac:dyDescent="0.15">
      <c r="A347" t="str">
        <f>HYPERLINK("./new_k5/query_cmdrels_weight_analyze/0.1_0.8_0.1/ul_11851.xlsx","ul_11851")</f>
        <v>ul_11851</v>
      </c>
      <c r="B347">
        <v>0</v>
      </c>
      <c r="C347">
        <v>0.2</v>
      </c>
      <c r="D347">
        <v>0</v>
      </c>
      <c r="E347">
        <v>0.6</v>
      </c>
      <c r="F347">
        <v>0</v>
      </c>
      <c r="G347">
        <v>0.8</v>
      </c>
    </row>
    <row r="348" spans="1:7" x14ac:dyDescent="0.15">
      <c r="A348" t="str">
        <f>HYPERLINK("./new_k5/query_cmdrels_weight_analyze/0.1_0.8_0.1/ul_119126.xlsx","ul_119126")</f>
        <v>ul_119126</v>
      </c>
      <c r="B348">
        <v>0</v>
      </c>
      <c r="C348">
        <v>0.2</v>
      </c>
      <c r="D348">
        <v>0.1</v>
      </c>
      <c r="E348">
        <v>0.33333333333333331</v>
      </c>
      <c r="F348">
        <v>0.18</v>
      </c>
      <c r="G348">
        <v>0.48333333333333328</v>
      </c>
    </row>
    <row r="349" spans="1:7" x14ac:dyDescent="0.15">
      <c r="A349" t="str">
        <f>HYPERLINK("./new_k5/query_cmdrels_weight_analyze/0.1_0.8_0.1/ul_121718.xlsx","ul_121718")</f>
        <v>ul_121718</v>
      </c>
      <c r="B349">
        <v>0.33333333333333331</v>
      </c>
      <c r="C349">
        <v>0.33333333333333331</v>
      </c>
      <c r="D349">
        <v>0.33333333333333331</v>
      </c>
      <c r="E349">
        <v>0.33333333333333331</v>
      </c>
      <c r="F349">
        <v>0.33333333333333331</v>
      </c>
      <c r="G349">
        <v>0.33333333333333331</v>
      </c>
    </row>
    <row r="350" spans="1:7" x14ac:dyDescent="0.15">
      <c r="A350" t="str">
        <f>HYPERLINK("./new_k5/query_cmdrels_weight_analyze/0.1_0.8_0.1/ul_12227.xlsx","ul_12227")</f>
        <v>ul_12227</v>
      </c>
      <c r="B350">
        <v>0.5</v>
      </c>
      <c r="C350">
        <v>0.5</v>
      </c>
      <c r="D350">
        <v>0.5</v>
      </c>
      <c r="E350">
        <v>0.5</v>
      </c>
      <c r="F350">
        <v>0.5</v>
      </c>
      <c r="G350">
        <v>0.5</v>
      </c>
    </row>
    <row r="351" spans="1:7" x14ac:dyDescent="0.15">
      <c r="A351" t="str">
        <f>HYPERLINK("./new_k5/query_cmdrels_weight_analyze/0.1_0.8_0.1/ul_12453.xlsx","ul_12453")</f>
        <v>ul_12453</v>
      </c>
      <c r="B351">
        <v>0</v>
      </c>
      <c r="C351">
        <v>0.25</v>
      </c>
      <c r="D351">
        <v>0.125</v>
      </c>
      <c r="E351">
        <v>0.75</v>
      </c>
      <c r="F351">
        <v>0.125</v>
      </c>
      <c r="G351">
        <v>1</v>
      </c>
    </row>
    <row r="352" spans="1:7" x14ac:dyDescent="0.15">
      <c r="A352" t="str">
        <f>HYPERLINK("./new_k5/query_cmdrels_weight_analyze/0.1_0.8_0.1/ul_12535.xlsx","ul_12535")</f>
        <v>ul_12535</v>
      </c>
      <c r="B352">
        <v>0</v>
      </c>
      <c r="C352">
        <v>0</v>
      </c>
      <c r="D352">
        <v>0</v>
      </c>
      <c r="E352">
        <v>6.6666666666666666E-2</v>
      </c>
      <c r="F352">
        <v>0.05</v>
      </c>
      <c r="G352">
        <v>0.28666666666666663</v>
      </c>
    </row>
    <row r="353" spans="1:7" x14ac:dyDescent="0.15">
      <c r="A353" t="str">
        <f>HYPERLINK("./new_k5/query_cmdrels_weight_analyze/0.1_0.8_0.1/ul_127066.xlsx","ul_127066")</f>
        <v>ul_127066</v>
      </c>
      <c r="B353">
        <v>0.25</v>
      </c>
      <c r="C353">
        <v>0.25</v>
      </c>
      <c r="D353">
        <v>0.25</v>
      </c>
      <c r="E353">
        <v>0.5</v>
      </c>
      <c r="F353">
        <v>0.25</v>
      </c>
      <c r="G353">
        <v>0.5</v>
      </c>
    </row>
    <row r="354" spans="1:7" x14ac:dyDescent="0.15">
      <c r="A354" t="str">
        <f>HYPERLINK("./new_k5/query_cmdrels_weight_analyze/0.1_0.8_0.1/ul_128953.xlsx","ul_128953")</f>
        <v>ul_128953</v>
      </c>
      <c r="B354">
        <v>0</v>
      </c>
      <c r="C354">
        <v>0.33333333333333331</v>
      </c>
      <c r="D354">
        <v>0.38888888888888878</v>
      </c>
      <c r="E354">
        <v>0.33333333333333331</v>
      </c>
      <c r="F354">
        <v>0.38888888888888878</v>
      </c>
      <c r="G354">
        <v>0.5</v>
      </c>
    </row>
    <row r="355" spans="1:7" x14ac:dyDescent="0.15">
      <c r="A355" t="str">
        <f>HYPERLINK("./new_k5/query_cmdrels_weight_analyze/0.1_0.8_0.1/ul_134829.xlsx","ul_134829")</f>
        <v>ul_134829</v>
      </c>
      <c r="B355">
        <v>0.16666666666666671</v>
      </c>
      <c r="C355">
        <v>0.16666666666666671</v>
      </c>
      <c r="D355">
        <v>0.33333333333333331</v>
      </c>
      <c r="E355">
        <v>0.5</v>
      </c>
      <c r="F355">
        <v>0.33333333333333331</v>
      </c>
      <c r="G355">
        <v>0.66666666666666663</v>
      </c>
    </row>
    <row r="356" spans="1:7" x14ac:dyDescent="0.15">
      <c r="A356" t="str">
        <f>HYPERLINK("./new_k5/query_cmdrels_weight_analyze/0.1_0.8_0.1/ul_136371.xlsx","ul_136371")</f>
        <v>ul_136371</v>
      </c>
      <c r="B356">
        <v>0</v>
      </c>
      <c r="C356">
        <v>0</v>
      </c>
      <c r="D356">
        <v>0</v>
      </c>
      <c r="E356">
        <v>0.1111111111111111</v>
      </c>
      <c r="F356">
        <v>0</v>
      </c>
      <c r="G356">
        <v>0.24444444444444449</v>
      </c>
    </row>
    <row r="357" spans="1:7" x14ac:dyDescent="0.15">
      <c r="A357" t="str">
        <f>HYPERLINK("./new_k5/query_cmdrels_weight_analyze/0.1_0.8_0.1/ul_136884.xlsx","ul_136884")</f>
        <v>ul_136884</v>
      </c>
      <c r="B357">
        <v>0</v>
      </c>
      <c r="C357">
        <v>0</v>
      </c>
      <c r="D357">
        <v>0</v>
      </c>
      <c r="E357">
        <v>0.1111111111111111</v>
      </c>
      <c r="F357">
        <v>0</v>
      </c>
      <c r="G357">
        <v>0.1111111111111111</v>
      </c>
    </row>
    <row r="358" spans="1:7" x14ac:dyDescent="0.15">
      <c r="A358" t="str">
        <f>HYPERLINK("./new_k5/query_cmdrels_weight_analyze/0.1_0.8_0.1/ul_138398.xlsx","ul_138398")</f>
        <v>ul_138398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 t="str">
        <f>HYPERLINK("./new_k5/query_cmdrels_weight_analyze/0.1_0.8_0.1/ul_139271.xlsx","ul_139271")</f>
        <v>ul_139271</v>
      </c>
      <c r="B359">
        <v>0.16666666666666671</v>
      </c>
      <c r="C359">
        <v>0.16666666666666671</v>
      </c>
      <c r="D359">
        <v>0.33333333333333331</v>
      </c>
      <c r="E359">
        <v>0.5</v>
      </c>
      <c r="F359">
        <v>0.33333333333333331</v>
      </c>
      <c r="G359">
        <v>0.5</v>
      </c>
    </row>
    <row r="360" spans="1:7" x14ac:dyDescent="0.15">
      <c r="A360" t="str">
        <f>HYPERLINK("./new_k5/query_cmdrels_weight_analyze/0.1_0.8_0.1/ul_140482.xlsx","ul_140482")</f>
        <v>ul_140482</v>
      </c>
      <c r="B360">
        <v>0.33333333333333331</v>
      </c>
      <c r="C360">
        <v>0.33333333333333331</v>
      </c>
      <c r="D360">
        <v>0.33333333333333331</v>
      </c>
      <c r="E360">
        <v>0.33333333333333331</v>
      </c>
      <c r="F360">
        <v>0.33333333333333331</v>
      </c>
      <c r="G360">
        <v>0.33333333333333331</v>
      </c>
    </row>
    <row r="361" spans="1:7" x14ac:dyDescent="0.15">
      <c r="A361" t="str">
        <f>HYPERLINK("./new_k5/query_cmdrels_weight_analyze/0.1_0.8_0.1/ul_14191.xlsx","ul_14191")</f>
        <v>ul_14191</v>
      </c>
      <c r="B361">
        <v>0.33333333333333331</v>
      </c>
      <c r="C361">
        <v>0</v>
      </c>
      <c r="D361">
        <v>0.55555555555555547</v>
      </c>
      <c r="E361">
        <v>0</v>
      </c>
      <c r="F361">
        <v>0.55555555555555547</v>
      </c>
      <c r="G361">
        <v>0.2166666666666667</v>
      </c>
    </row>
    <row r="362" spans="1:7" x14ac:dyDescent="0.15">
      <c r="A362" t="str">
        <f>HYPERLINK("./new_k5/query_cmdrels_weight_analyze/0.1_0.8_0.1/ul_145929.xlsx","ul_145929")</f>
        <v>ul_145929</v>
      </c>
      <c r="B362">
        <v>0</v>
      </c>
      <c r="C362">
        <v>0</v>
      </c>
      <c r="D362">
        <v>0.16666666666666671</v>
      </c>
      <c r="E362">
        <v>0.58333333333333326</v>
      </c>
      <c r="F362">
        <v>0.16666666666666671</v>
      </c>
      <c r="G362">
        <v>0.58333333333333326</v>
      </c>
    </row>
    <row r="363" spans="1:7" x14ac:dyDescent="0.15">
      <c r="A363" t="str">
        <f>HYPERLINK("./new_k5/query_cmdrels_weight_analyze/0.1_0.8_0.1/ul_148985.xlsx","ul_148985")</f>
        <v>ul_148985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</row>
    <row r="364" spans="1:7" x14ac:dyDescent="0.15">
      <c r="A364" t="str">
        <f>HYPERLINK("./new_k5/query_cmdrels_weight_analyze/0.1_0.8_0.1/ul_15405.xlsx","ul_15405")</f>
        <v>ul_15405</v>
      </c>
      <c r="B364">
        <v>0.25</v>
      </c>
      <c r="C364">
        <v>0.25</v>
      </c>
      <c r="D364">
        <v>0.41666666666666657</v>
      </c>
      <c r="E364">
        <v>0.5</v>
      </c>
      <c r="F364">
        <v>0.41666666666666657</v>
      </c>
      <c r="G364">
        <v>0.5</v>
      </c>
    </row>
    <row r="365" spans="1:7" x14ac:dyDescent="0.15">
      <c r="A365" t="str">
        <f>HYPERLINK("./new_k5/query_cmdrels_weight_analyze/0.1_0.8_0.1/ul_155551.xlsx","ul_155551")</f>
        <v>ul_155551</v>
      </c>
      <c r="B365">
        <v>0</v>
      </c>
      <c r="C365">
        <v>0.5</v>
      </c>
      <c r="D365">
        <v>0</v>
      </c>
      <c r="E365">
        <v>0.83333333333333326</v>
      </c>
      <c r="F365">
        <v>0</v>
      </c>
      <c r="G365">
        <v>0.83333333333333326</v>
      </c>
    </row>
    <row r="366" spans="1:7" x14ac:dyDescent="0.15">
      <c r="A366" t="str">
        <f>HYPERLINK("./new_k5/query_cmdrels_weight_analyze/0.1_0.8_0.1/ul_159672.xlsx","ul_159672")</f>
        <v>ul_159672</v>
      </c>
      <c r="B366">
        <v>0</v>
      </c>
      <c r="C366">
        <v>0.33333333333333331</v>
      </c>
      <c r="D366">
        <v>0</v>
      </c>
      <c r="E366">
        <v>0.66666666666666663</v>
      </c>
      <c r="F366">
        <v>8.3333333333333329E-2</v>
      </c>
      <c r="G366">
        <v>0.66666666666666663</v>
      </c>
    </row>
    <row r="367" spans="1:7" x14ac:dyDescent="0.15">
      <c r="A367" t="str">
        <f>HYPERLINK("./new_k5/query_cmdrels_weight_analyze/0.1_0.8_0.1/ul_163845.xlsx","ul_163845")</f>
        <v>ul_163845</v>
      </c>
      <c r="B367">
        <v>0.25</v>
      </c>
      <c r="C367">
        <v>0</v>
      </c>
      <c r="D367">
        <v>0.25</v>
      </c>
      <c r="E367">
        <v>0.29166666666666657</v>
      </c>
      <c r="F367">
        <v>0.25</v>
      </c>
      <c r="G367">
        <v>0.29166666666666657</v>
      </c>
    </row>
    <row r="368" spans="1:7" x14ac:dyDescent="0.15">
      <c r="A368" t="str">
        <f>HYPERLINK("./new_k5/query_cmdrels_weight_analyze/0.1_0.8_0.1/ul_16407.xlsx","ul_16407")</f>
        <v>ul_16407</v>
      </c>
      <c r="B368">
        <v>0.5</v>
      </c>
      <c r="C368">
        <v>0</v>
      </c>
      <c r="D368">
        <v>0.5</v>
      </c>
      <c r="E368">
        <v>0.25</v>
      </c>
      <c r="F368">
        <v>0.75</v>
      </c>
      <c r="G368">
        <v>0.25</v>
      </c>
    </row>
    <row r="369" spans="1:7" x14ac:dyDescent="0.15">
      <c r="A369" t="str">
        <f>HYPERLINK("./new_k5/query_cmdrels_weight_analyze/0.1_0.8_0.1/ul_166558.xlsx","ul_166558")</f>
        <v>ul_166558</v>
      </c>
      <c r="B369">
        <v>0</v>
      </c>
      <c r="C369">
        <v>0</v>
      </c>
      <c r="D369">
        <v>0.125</v>
      </c>
      <c r="E369">
        <v>0.29166666666666657</v>
      </c>
      <c r="F369">
        <v>0.125</v>
      </c>
      <c r="G369">
        <v>0.29166666666666657</v>
      </c>
    </row>
    <row r="370" spans="1:7" x14ac:dyDescent="0.15">
      <c r="A370" t="str">
        <f>HYPERLINK("./new_k5/query_cmdrels_weight_analyze/0.1_0.8_0.1/ul_171314.xlsx","ul_171314")</f>
        <v>ul_171314</v>
      </c>
      <c r="B370">
        <v>0.16666666666666671</v>
      </c>
      <c r="C370">
        <v>0.16666666666666671</v>
      </c>
      <c r="D370">
        <v>0.16666666666666671</v>
      </c>
      <c r="E370">
        <v>0.16666666666666671</v>
      </c>
      <c r="F370">
        <v>0.16666666666666671</v>
      </c>
      <c r="G370">
        <v>0.25</v>
      </c>
    </row>
    <row r="371" spans="1:7" x14ac:dyDescent="0.15">
      <c r="A371" t="str">
        <f>HYPERLINK("./new_k5/query_cmdrels_weight_analyze/0.1_0.8_0.1/ul_182032.xlsx","ul_182032")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15">
      <c r="A372" t="str">
        <f>HYPERLINK("./new_k5/query_cmdrels_weight_analyze/0.1_0.8_0.1/ul_19344.xlsx","ul_19344")</f>
        <v>ul_19344</v>
      </c>
      <c r="B372">
        <v>0.33333333333333331</v>
      </c>
      <c r="C372">
        <v>0.33333333333333331</v>
      </c>
      <c r="D372">
        <v>0.66666666666666663</v>
      </c>
      <c r="E372">
        <v>0.55555555555555547</v>
      </c>
      <c r="F372">
        <v>0.66666666666666663</v>
      </c>
      <c r="G372">
        <v>0.55555555555555547</v>
      </c>
    </row>
    <row r="373" spans="1:7" x14ac:dyDescent="0.15">
      <c r="A373" t="str">
        <f>HYPERLINK("./new_k5/query_cmdrels_weight_analyze/0.1_0.8_0.1/ul_19369.xlsx","ul_19369")</f>
        <v>ul_19369</v>
      </c>
      <c r="B373">
        <v>0.2</v>
      </c>
      <c r="C373">
        <v>0</v>
      </c>
      <c r="D373">
        <v>0.2</v>
      </c>
      <c r="E373">
        <v>6.6666666666666666E-2</v>
      </c>
      <c r="F373">
        <v>0.2</v>
      </c>
      <c r="G373">
        <v>0.16666666666666671</v>
      </c>
    </row>
    <row r="374" spans="1:7" x14ac:dyDescent="0.15">
      <c r="A374" t="str">
        <f>HYPERLINK("./new_k5/query_cmdrels_weight_analyze/0.1_0.8_0.1/ul_19485.xlsx","ul_19485")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15">
      <c r="A375" t="str">
        <f>HYPERLINK("./new_k5/query_cmdrels_weight_analyze/0.1_0.8_0.1/ul_20370.xlsx","ul_20370")</f>
        <v>ul_20370</v>
      </c>
      <c r="B375">
        <v>0</v>
      </c>
      <c r="C375">
        <v>0.5</v>
      </c>
      <c r="D375">
        <v>0</v>
      </c>
      <c r="E375">
        <v>0.5</v>
      </c>
      <c r="F375">
        <v>0</v>
      </c>
      <c r="G375">
        <v>0.5</v>
      </c>
    </row>
    <row r="376" spans="1:7" x14ac:dyDescent="0.15">
      <c r="A376" t="str">
        <f>HYPERLINK("./new_k5/query_cmdrels_weight_analyze/0.1_0.8_0.1/ul_211817.xlsx","ul_211817")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 t="str">
        <f>HYPERLINK("./new_k5/query_cmdrels_weight_analyze/0.1_0.8_0.1/ul_212925.xlsx","ul_212925")</f>
        <v>ul_212925</v>
      </c>
      <c r="B377">
        <v>0</v>
      </c>
      <c r="C377">
        <v>0</v>
      </c>
      <c r="D377">
        <v>0</v>
      </c>
      <c r="E377">
        <v>0.33333333333333331</v>
      </c>
      <c r="F377">
        <v>0</v>
      </c>
      <c r="G377">
        <v>0.33333333333333331</v>
      </c>
    </row>
    <row r="378" spans="1:7" x14ac:dyDescent="0.15">
      <c r="A378" t="str">
        <f>HYPERLINK("./new_k5/query_cmdrels_weight_analyze/0.1_0.8_0.1/ul_21471.xlsx","ul_21471")</f>
        <v>ul_21471</v>
      </c>
      <c r="B378">
        <v>0</v>
      </c>
      <c r="C378">
        <v>0</v>
      </c>
      <c r="D378">
        <v>0</v>
      </c>
      <c r="E378">
        <v>0</v>
      </c>
      <c r="F378">
        <v>8.3333333333333329E-2</v>
      </c>
      <c r="G378">
        <v>0</v>
      </c>
    </row>
    <row r="379" spans="1:7" x14ac:dyDescent="0.15">
      <c r="A379" t="str">
        <f>HYPERLINK("./new_k5/query_cmdrels_weight_analyze/0.1_0.8_0.1/ul_22545.xlsx","ul_22545")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15">
      <c r="A380" t="str">
        <f>HYPERLINK("./new_k5/query_cmdrels_weight_analyze/0.1_0.8_0.1/ul_230481.xlsx","ul_230481")</f>
        <v>ul_230481</v>
      </c>
      <c r="B380">
        <v>0.33333333333333331</v>
      </c>
      <c r="C380">
        <v>0.33333333333333331</v>
      </c>
      <c r="D380">
        <v>0.33333333333333331</v>
      </c>
      <c r="E380">
        <v>0.55555555555555547</v>
      </c>
      <c r="F380">
        <v>0.33333333333333331</v>
      </c>
      <c r="G380">
        <v>0.80555555555555547</v>
      </c>
    </row>
    <row r="381" spans="1:7" x14ac:dyDescent="0.15">
      <c r="A381" t="str">
        <f>HYPERLINK("./new_k5/query_cmdrels_weight_analyze/0.1_0.8_0.1/ul_230673.xlsx","ul_230673")</f>
        <v>ul_230673</v>
      </c>
      <c r="B381">
        <v>0</v>
      </c>
      <c r="C381">
        <v>0</v>
      </c>
      <c r="D381">
        <v>0</v>
      </c>
      <c r="E381">
        <v>0.25</v>
      </c>
      <c r="F381">
        <v>0</v>
      </c>
      <c r="G381">
        <v>0.45</v>
      </c>
    </row>
    <row r="382" spans="1:7" x14ac:dyDescent="0.15">
      <c r="A382" t="str">
        <f>HYPERLINK("./new_k5/query_cmdrels_weight_analyze/0.1_0.8_0.1/ul_230800.xlsx","ul_230800")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15">
      <c r="A383" t="str">
        <f>HYPERLINK("./new_k5/query_cmdrels_weight_analyze/0.1_0.8_0.1/ul_232384.xlsx","ul_232384")</f>
        <v>ul_232384</v>
      </c>
      <c r="B383">
        <v>0</v>
      </c>
      <c r="C383">
        <v>0.5</v>
      </c>
      <c r="D383">
        <v>0</v>
      </c>
      <c r="E383">
        <v>1</v>
      </c>
      <c r="F383">
        <v>0</v>
      </c>
      <c r="G383">
        <v>1</v>
      </c>
    </row>
    <row r="384" spans="1:7" x14ac:dyDescent="0.15">
      <c r="A384" t="str">
        <f>HYPERLINK("./new_k5/query_cmdrels_weight_analyze/0.1_0.8_0.1/ul_24441.xlsx","ul_24441")</f>
        <v>ul_24441</v>
      </c>
      <c r="B384">
        <v>0</v>
      </c>
      <c r="C384">
        <v>0.5</v>
      </c>
      <c r="D384">
        <v>0</v>
      </c>
      <c r="E384">
        <v>0.5</v>
      </c>
      <c r="F384">
        <v>0</v>
      </c>
      <c r="G384">
        <v>0.5</v>
      </c>
    </row>
    <row r="385" spans="1:7" x14ac:dyDescent="0.15">
      <c r="A385" t="str">
        <f>HYPERLINK("./new_k5/query_cmdrels_weight_analyze/0.1_0.8_0.1/ul_246535.xlsx","ul_246535")</f>
        <v>ul_246535</v>
      </c>
      <c r="B385">
        <v>0.2</v>
      </c>
      <c r="C385">
        <v>0</v>
      </c>
      <c r="D385">
        <v>0.2</v>
      </c>
      <c r="E385">
        <v>0.23333333333333331</v>
      </c>
      <c r="F385">
        <v>0.2</v>
      </c>
      <c r="G385">
        <v>0.23333333333333331</v>
      </c>
    </row>
    <row r="386" spans="1:7" x14ac:dyDescent="0.15">
      <c r="A386" t="str">
        <f>HYPERLINK("./new_k5/query_cmdrels_weight_analyze/0.1_0.8_0.1/ul_259791.xlsx","ul_259791")</f>
        <v>ul_259791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0.25</v>
      </c>
    </row>
    <row r="387" spans="1:7" x14ac:dyDescent="0.15">
      <c r="A387" t="str">
        <f>HYPERLINK("./new_k5/query_cmdrels_weight_analyze/0.1_0.8_0.1/ul_273971.xlsx","ul_273971")</f>
        <v>ul_273971</v>
      </c>
      <c r="B387">
        <v>0.16666666666666671</v>
      </c>
      <c r="C387">
        <v>0.16666666666666671</v>
      </c>
      <c r="D387">
        <v>0.33333333333333331</v>
      </c>
      <c r="E387">
        <v>0.33333333333333331</v>
      </c>
      <c r="F387">
        <v>0.43333333333333329</v>
      </c>
      <c r="G387">
        <v>0.33333333333333331</v>
      </c>
    </row>
    <row r="388" spans="1:7" x14ac:dyDescent="0.15">
      <c r="A388" t="str">
        <f>HYPERLINK("./new_k5/query_cmdrels_weight_analyze/0.1_0.8_0.1/ul_28553.xlsx","ul_28553")</f>
        <v>ul_28553</v>
      </c>
      <c r="B388">
        <v>0.25</v>
      </c>
      <c r="C388">
        <v>0.25</v>
      </c>
      <c r="D388">
        <v>0.5</v>
      </c>
      <c r="E388">
        <v>0.25</v>
      </c>
      <c r="F388">
        <v>0.5</v>
      </c>
      <c r="G388">
        <v>0.25</v>
      </c>
    </row>
    <row r="389" spans="1:7" x14ac:dyDescent="0.15">
      <c r="A389" t="str">
        <f>HYPERLINK("./new_k5/query_cmdrels_weight_analyze/0.1_0.8_0.1/ul_288521.xlsx","ul_288521")</f>
        <v>ul_288521</v>
      </c>
      <c r="B389">
        <v>0</v>
      </c>
      <c r="C389">
        <v>0.5</v>
      </c>
      <c r="D389">
        <v>0</v>
      </c>
      <c r="E389">
        <v>1</v>
      </c>
      <c r="F389">
        <v>0</v>
      </c>
      <c r="G389">
        <v>1</v>
      </c>
    </row>
    <row r="390" spans="1:7" x14ac:dyDescent="0.15">
      <c r="A390" t="str">
        <f>HYPERLINK("./new_k5/query_cmdrels_weight_analyze/0.1_0.8_0.1/ul_32290.xlsx","ul_32290")</f>
        <v>ul_32290</v>
      </c>
      <c r="B390">
        <v>0</v>
      </c>
      <c r="C390">
        <v>0</v>
      </c>
      <c r="D390">
        <v>0</v>
      </c>
      <c r="E390">
        <v>8.3333333333333329E-2</v>
      </c>
      <c r="F390">
        <v>0</v>
      </c>
      <c r="G390">
        <v>8.3333333333333329E-2</v>
      </c>
    </row>
    <row r="391" spans="1:7" x14ac:dyDescent="0.15">
      <c r="A391" t="str">
        <f>HYPERLINK("./new_k5/query_cmdrels_weight_analyze/0.1_0.8_0.1/ul_328882.xlsx","ul_328882")</f>
        <v>ul_328882</v>
      </c>
      <c r="B391">
        <v>0</v>
      </c>
      <c r="C391">
        <v>0</v>
      </c>
      <c r="D391">
        <v>0</v>
      </c>
      <c r="E391">
        <v>0.5</v>
      </c>
      <c r="F391">
        <v>0</v>
      </c>
      <c r="G391">
        <v>0.5</v>
      </c>
    </row>
    <row r="392" spans="1:7" x14ac:dyDescent="0.15">
      <c r="A392" t="str">
        <f>HYPERLINK("./new_k5/query_cmdrels_weight_analyze/0.1_0.8_0.1/ul_35131.xlsx","ul_35131")</f>
        <v>ul_35131</v>
      </c>
      <c r="B392">
        <v>0.33333333333333331</v>
      </c>
      <c r="C392">
        <v>0.33333333333333331</v>
      </c>
      <c r="D392">
        <v>0.66666666666666663</v>
      </c>
      <c r="E392">
        <v>0.66666666666666663</v>
      </c>
      <c r="F392">
        <v>0.66666666666666663</v>
      </c>
      <c r="G392">
        <v>0.66666666666666663</v>
      </c>
    </row>
    <row r="393" spans="1:7" x14ac:dyDescent="0.15">
      <c r="A393" t="str">
        <f>HYPERLINK("./new_k5/query_cmdrels_weight_analyze/0.1_0.8_0.1/ul_35333.xlsx","ul_35333")</f>
        <v>ul_35333</v>
      </c>
      <c r="B393">
        <v>0.5</v>
      </c>
      <c r="C393">
        <v>0.5</v>
      </c>
      <c r="D393">
        <v>0.5</v>
      </c>
      <c r="E393">
        <v>0.5</v>
      </c>
      <c r="F393">
        <v>0.5</v>
      </c>
      <c r="G393">
        <v>0.5</v>
      </c>
    </row>
    <row r="394" spans="1:7" x14ac:dyDescent="0.15">
      <c r="A394" t="str">
        <f>HYPERLINK("./new_k5/query_cmdrels_weight_analyze/0.1_0.8_0.1/ul_35711.xlsx","ul_35711")</f>
        <v>ul_35711</v>
      </c>
      <c r="B394">
        <v>0.5</v>
      </c>
      <c r="C394">
        <v>0</v>
      </c>
      <c r="D394">
        <v>0.5</v>
      </c>
      <c r="E394">
        <v>0.25</v>
      </c>
      <c r="F394">
        <v>0.5</v>
      </c>
      <c r="G394">
        <v>0.25</v>
      </c>
    </row>
    <row r="395" spans="1:7" x14ac:dyDescent="0.15">
      <c r="A395" t="str">
        <f>HYPERLINK("./new_k5/query_cmdrels_weight_analyze/0.1_0.8_0.1/ul_3575.xlsx","ul_3575")</f>
        <v>ul_3575</v>
      </c>
      <c r="B395">
        <v>0</v>
      </c>
      <c r="C395">
        <v>0</v>
      </c>
      <c r="D395">
        <v>8.3333333333333329E-2</v>
      </c>
      <c r="E395">
        <v>0</v>
      </c>
      <c r="F395">
        <v>8.3333333333333329E-2</v>
      </c>
      <c r="G395">
        <v>3.3333333333333333E-2</v>
      </c>
    </row>
    <row r="396" spans="1:7" x14ac:dyDescent="0.15">
      <c r="A396" t="str">
        <f>HYPERLINK("./new_k5/query_cmdrels_weight_analyze/0.1_0.8_0.1/ul_35832.xlsx","ul_35832")</f>
        <v>ul_35832</v>
      </c>
      <c r="B396">
        <v>0.5</v>
      </c>
      <c r="C396">
        <v>0.5</v>
      </c>
      <c r="D396">
        <v>0.5</v>
      </c>
      <c r="E396">
        <v>0.83333333333333326</v>
      </c>
      <c r="F396">
        <v>0.5</v>
      </c>
      <c r="G396">
        <v>0.83333333333333326</v>
      </c>
    </row>
    <row r="397" spans="1:7" x14ac:dyDescent="0.15">
      <c r="A397" t="str">
        <f>HYPERLINK("./new_k5/query_cmdrels_weight_analyze/0.1_0.8_0.1/ul_370318.xlsx","ul_370318")</f>
        <v>ul_370318</v>
      </c>
      <c r="B397">
        <v>0.14285714285714279</v>
      </c>
      <c r="C397">
        <v>0</v>
      </c>
      <c r="D397">
        <v>0.14285714285714279</v>
      </c>
      <c r="E397">
        <v>0</v>
      </c>
      <c r="F397">
        <v>0.14285714285714279</v>
      </c>
      <c r="G397">
        <v>0</v>
      </c>
    </row>
    <row r="398" spans="1:7" x14ac:dyDescent="0.15">
      <c r="A398" t="str">
        <f>HYPERLINK("./new_k5/query_cmdrels_weight_analyze/0.1_0.8_0.1/ul_37329.xlsx","ul_37329")</f>
        <v>ul_37329</v>
      </c>
      <c r="B398">
        <v>0.33333333333333331</v>
      </c>
      <c r="C398">
        <v>0.33333333333333331</v>
      </c>
      <c r="D398">
        <v>0.33333333333333331</v>
      </c>
      <c r="E398">
        <v>0.66666666666666663</v>
      </c>
      <c r="F398">
        <v>0.33333333333333331</v>
      </c>
      <c r="G398">
        <v>0.66666666666666663</v>
      </c>
    </row>
    <row r="399" spans="1:7" x14ac:dyDescent="0.15">
      <c r="A399" t="str">
        <f>HYPERLINK("./new_k5/query_cmdrels_weight_analyze/0.1_0.8_0.1/ul_38209.xlsx","ul_38209")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 t="str">
        <f>HYPERLINK("./new_k5/query_cmdrels_weight_analyze/0.1_0.8_0.1/ul_41246.xlsx","ul_41246")</f>
        <v>ul_41246</v>
      </c>
      <c r="B400">
        <v>0.5</v>
      </c>
      <c r="C400">
        <v>0.5</v>
      </c>
      <c r="D400">
        <v>0.5</v>
      </c>
      <c r="E400">
        <v>0.5</v>
      </c>
      <c r="F400">
        <v>0.5</v>
      </c>
      <c r="G400">
        <v>0.5</v>
      </c>
    </row>
    <row r="401" spans="1:7" x14ac:dyDescent="0.15">
      <c r="A401" t="str">
        <f>HYPERLINK("./new_k5/query_cmdrels_weight_analyze/0.1_0.8_0.1/ul_41362.xlsx","ul_41362")</f>
        <v>ul_41362</v>
      </c>
      <c r="B401">
        <v>0</v>
      </c>
      <c r="C401">
        <v>0</v>
      </c>
      <c r="D401">
        <v>0</v>
      </c>
      <c r="E401">
        <v>8.3333333333333329E-2</v>
      </c>
      <c r="F401">
        <v>0</v>
      </c>
      <c r="G401">
        <v>8.3333333333333329E-2</v>
      </c>
    </row>
    <row r="402" spans="1:7" x14ac:dyDescent="0.15">
      <c r="A402" t="str">
        <f>HYPERLINK("./new_k5/query_cmdrels_weight_analyze/0.1_0.8_0.1/ul_48200.xlsx","ul_48200")</f>
        <v>ul_48200</v>
      </c>
      <c r="B402">
        <v>0</v>
      </c>
      <c r="C402">
        <v>0.5</v>
      </c>
      <c r="D402">
        <v>0</v>
      </c>
      <c r="E402">
        <v>0.5</v>
      </c>
      <c r="F402">
        <v>0</v>
      </c>
      <c r="G402">
        <v>0.5</v>
      </c>
    </row>
    <row r="403" spans="1:7" x14ac:dyDescent="0.15">
      <c r="A403" t="str">
        <f>HYPERLINK("./new_k5/query_cmdrels_weight_analyze/0.1_0.8_0.1/ul_50098.xlsx","ul_50098")</f>
        <v>ul_50098</v>
      </c>
      <c r="B403">
        <v>0</v>
      </c>
      <c r="C403">
        <v>0</v>
      </c>
      <c r="D403">
        <v>0.1166666666666667</v>
      </c>
      <c r="E403">
        <v>3.3333333333333333E-2</v>
      </c>
      <c r="F403">
        <v>0.1166666666666667</v>
      </c>
      <c r="G403">
        <v>7.3333333333333334E-2</v>
      </c>
    </row>
    <row r="404" spans="1:7" x14ac:dyDescent="0.15">
      <c r="A404" t="str">
        <f>HYPERLINK("./new_k5/query_cmdrels_weight_analyze/0.1_0.8_0.1/ul_50785.xlsx","ul_50785")</f>
        <v>ul_50785</v>
      </c>
      <c r="B404">
        <v>0.25</v>
      </c>
      <c r="C404">
        <v>0.25</v>
      </c>
      <c r="D404">
        <v>0.25</v>
      </c>
      <c r="E404">
        <v>0.5</v>
      </c>
      <c r="F404">
        <v>0.25</v>
      </c>
      <c r="G404">
        <v>0.5</v>
      </c>
    </row>
    <row r="405" spans="1:7" x14ac:dyDescent="0.15">
      <c r="A405" t="str">
        <f>HYPERLINK("./new_k5/query_cmdrels_weight_analyze/0.1_0.8_0.1/ul_5085.xlsx","ul_5085")</f>
        <v>ul_5085</v>
      </c>
      <c r="B405">
        <v>0</v>
      </c>
      <c r="C405">
        <v>0.5</v>
      </c>
      <c r="D405">
        <v>0.25</v>
      </c>
      <c r="E405">
        <v>0.5</v>
      </c>
      <c r="F405">
        <v>0.25</v>
      </c>
      <c r="G405">
        <v>0.5</v>
      </c>
    </row>
    <row r="406" spans="1:7" x14ac:dyDescent="0.15">
      <c r="A406" t="str">
        <f>HYPERLINK("./new_k5/query_cmdrels_weight_analyze/0.1_0.8_0.1/ul_53737.xlsx","ul_53737")</f>
        <v>ul_53737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</row>
    <row r="407" spans="1:7" x14ac:dyDescent="0.15">
      <c r="A407" t="str">
        <f>HYPERLINK("./new_k5/query_cmdrels_weight_analyze/0.1_0.8_0.1/ul_55125.xlsx","ul_55125")</f>
        <v>ul_55125</v>
      </c>
      <c r="B407">
        <v>0.5</v>
      </c>
      <c r="C407">
        <v>0</v>
      </c>
      <c r="D407">
        <v>0.5</v>
      </c>
      <c r="E407">
        <v>0.25</v>
      </c>
      <c r="F407">
        <v>0.5</v>
      </c>
      <c r="G407">
        <v>0.25</v>
      </c>
    </row>
    <row r="408" spans="1:7" x14ac:dyDescent="0.15">
      <c r="A408" t="str">
        <f>HYPERLINK("./new_k5/query_cmdrels_weight_analyze/0.1_0.8_0.1/ul_56453.xlsx","ul_56453")</f>
        <v>ul_56453</v>
      </c>
      <c r="B408">
        <v>0</v>
      </c>
      <c r="C408">
        <v>0.25</v>
      </c>
      <c r="D408">
        <v>8.3333333333333329E-2</v>
      </c>
      <c r="E408">
        <v>0.25</v>
      </c>
      <c r="F408">
        <v>8.3333333333333329E-2</v>
      </c>
      <c r="G408">
        <v>0.25</v>
      </c>
    </row>
    <row r="409" spans="1:7" x14ac:dyDescent="0.15">
      <c r="A409" t="str">
        <f>HYPERLINK("./new_k5/query_cmdrels_weight_analyze/0.1_0.8_0.1/ul_63648.xlsx","ul_63648")</f>
        <v>ul_63648</v>
      </c>
      <c r="B409">
        <v>0</v>
      </c>
      <c r="C409">
        <v>0</v>
      </c>
      <c r="D409">
        <v>0.125</v>
      </c>
      <c r="E409">
        <v>0.125</v>
      </c>
      <c r="F409">
        <v>0.25</v>
      </c>
      <c r="G409">
        <v>0.125</v>
      </c>
    </row>
    <row r="410" spans="1:7" x14ac:dyDescent="0.15">
      <c r="A410" t="str">
        <f>HYPERLINK("./new_k5/query_cmdrels_weight_analyze/0.1_0.8_0.1/ul_6402.xlsx","ul_6402")</f>
        <v>ul_6402</v>
      </c>
      <c r="B410">
        <v>0.33333333333333331</v>
      </c>
      <c r="C410">
        <v>0</v>
      </c>
      <c r="D410">
        <v>0.33333333333333331</v>
      </c>
      <c r="E410">
        <v>0.16666666666666671</v>
      </c>
      <c r="F410">
        <v>0.33333333333333331</v>
      </c>
      <c r="G410">
        <v>0.16666666666666671</v>
      </c>
    </row>
    <row r="411" spans="1:7" x14ac:dyDescent="0.15">
      <c r="A411" t="str">
        <f>HYPERLINK("./new_k5/query_cmdrels_weight_analyze/0.1_0.8_0.1/ul_65106.xlsx","ul_65106")</f>
        <v>ul_65106</v>
      </c>
      <c r="B411">
        <v>0.33333333333333331</v>
      </c>
      <c r="C411">
        <v>0.33333333333333331</v>
      </c>
      <c r="D411">
        <v>1</v>
      </c>
      <c r="E411">
        <v>0.33333333333333331</v>
      </c>
      <c r="F411">
        <v>1</v>
      </c>
      <c r="G411">
        <v>0.33333333333333331</v>
      </c>
    </row>
    <row r="412" spans="1:7" x14ac:dyDescent="0.15">
      <c r="A412" t="str">
        <f>HYPERLINK("./new_k5/query_cmdrels_weight_analyze/0.1_0.8_0.1/ul_65932.xlsx","ul_65932")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 t="str">
        <f>HYPERLINK("./new_k5/query_cmdrels_weight_analyze/0.1_0.8_0.1/ul_6596.xlsx","ul_6596")</f>
        <v>ul_6596</v>
      </c>
      <c r="B413">
        <v>0.2</v>
      </c>
      <c r="C413">
        <v>0.2</v>
      </c>
      <c r="D413">
        <v>0.6</v>
      </c>
      <c r="E413">
        <v>0.4</v>
      </c>
      <c r="F413">
        <v>0.6</v>
      </c>
      <c r="G413">
        <v>0.71</v>
      </c>
    </row>
    <row r="414" spans="1:7" x14ac:dyDescent="0.15">
      <c r="A414" t="str">
        <f>HYPERLINK("./new_k5/query_cmdrels_weight_analyze/0.1_0.8_0.1/ul_67503.xlsx","ul_67503")</f>
        <v>ul_67503</v>
      </c>
      <c r="B414">
        <v>0</v>
      </c>
      <c r="C414">
        <v>0.5</v>
      </c>
      <c r="D414">
        <v>0.25</v>
      </c>
      <c r="E414">
        <v>0.83333333333333326</v>
      </c>
      <c r="F414">
        <v>0.5</v>
      </c>
      <c r="G414">
        <v>0.83333333333333326</v>
      </c>
    </row>
    <row r="415" spans="1:7" x14ac:dyDescent="0.15">
      <c r="A415" t="str">
        <f>HYPERLINK("./new_k5/query_cmdrels_weight_analyze/0.1_0.8_0.1/ul_67592.xlsx","ul_67592")</f>
        <v>ul_67592</v>
      </c>
      <c r="B415">
        <v>0.33333333333333331</v>
      </c>
      <c r="C415">
        <v>0</v>
      </c>
      <c r="D415">
        <v>0.33333333333333331</v>
      </c>
      <c r="E415">
        <v>0</v>
      </c>
      <c r="F415">
        <v>0.33333333333333331</v>
      </c>
      <c r="G415">
        <v>8.3333333333333329E-2</v>
      </c>
    </row>
    <row r="416" spans="1:7" x14ac:dyDescent="0.15">
      <c r="A416" t="str">
        <f>HYPERLINK("./new_k5/query_cmdrels_weight_analyze/0.1_0.8_0.1/ul_70581.xlsx","ul_70581")</f>
        <v>ul_70581</v>
      </c>
      <c r="B416">
        <v>0</v>
      </c>
      <c r="C416">
        <v>0.2</v>
      </c>
      <c r="D416">
        <v>0.1</v>
      </c>
      <c r="E416">
        <v>0.6</v>
      </c>
      <c r="F416">
        <v>0.1</v>
      </c>
      <c r="G416">
        <v>0.6</v>
      </c>
    </row>
    <row r="417" spans="1:7" x14ac:dyDescent="0.15">
      <c r="A417" t="str">
        <f>HYPERLINK("./new_k5/query_cmdrels_weight_analyze/0.1_0.8_0.1/ul_70614.xlsx","ul_70614")</f>
        <v>ul_70614</v>
      </c>
      <c r="B417">
        <v>1</v>
      </c>
      <c r="C417">
        <v>0</v>
      </c>
      <c r="D417">
        <v>1</v>
      </c>
      <c r="E417">
        <v>0</v>
      </c>
      <c r="F417">
        <v>1</v>
      </c>
      <c r="G417">
        <v>0.25</v>
      </c>
    </row>
    <row r="418" spans="1:7" x14ac:dyDescent="0.15">
      <c r="A418" t="str">
        <f>HYPERLINK("./new_k5/query_cmdrels_weight_analyze/0.1_0.8_0.1/ul_71465.xlsx","ul_71465")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 t="str">
        <f>HYPERLINK("./new_k5/query_cmdrels_weight_analyze/0.1_0.8_0.1/ul_7226.xlsx","ul_7226")</f>
        <v>ul_7226</v>
      </c>
      <c r="B419">
        <v>0.33333333333333331</v>
      </c>
      <c r="C419">
        <v>0.33333333333333331</v>
      </c>
      <c r="D419">
        <v>0.33333333333333331</v>
      </c>
      <c r="E419">
        <v>0.33333333333333331</v>
      </c>
      <c r="F419">
        <v>0.33333333333333331</v>
      </c>
      <c r="G419">
        <v>0.5</v>
      </c>
    </row>
    <row r="420" spans="1:7" x14ac:dyDescent="0.15">
      <c r="A420" t="str">
        <f>HYPERLINK("./new_k5/query_cmdrels_weight_analyze/0.1_0.8_0.1/ul_78182.xlsx","ul_78182")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0.1</v>
      </c>
    </row>
    <row r="421" spans="1:7" x14ac:dyDescent="0.15">
      <c r="A421" t="str">
        <f>HYPERLINK("./new_k5/query_cmdrels_weight_analyze/0.1_0.8_0.1/ul_79678.xlsx","ul_79678")</f>
        <v>ul_79678</v>
      </c>
      <c r="B421">
        <v>0</v>
      </c>
      <c r="C421">
        <v>0</v>
      </c>
      <c r="D421">
        <v>0.25</v>
      </c>
      <c r="E421">
        <v>0</v>
      </c>
      <c r="F421">
        <v>0.25</v>
      </c>
      <c r="G421">
        <v>0.125</v>
      </c>
    </row>
    <row r="422" spans="1:7" x14ac:dyDescent="0.15">
      <c r="A422" t="str">
        <f>HYPERLINK("./new_k5/query_cmdrels_weight_analyze/0.1_0.8_0.1/ul_79702.xlsx","ul_79702")</f>
        <v>ul_79702</v>
      </c>
      <c r="B422">
        <v>0</v>
      </c>
      <c r="C422">
        <v>0.33333333333333331</v>
      </c>
      <c r="D422">
        <v>0</v>
      </c>
      <c r="E422">
        <v>0.55555555555555547</v>
      </c>
      <c r="F422">
        <v>0</v>
      </c>
      <c r="G422">
        <v>0.75555555555555554</v>
      </c>
    </row>
    <row r="423" spans="1:7" x14ac:dyDescent="0.15">
      <c r="A423" t="str">
        <f>HYPERLINK("./new_k5/query_cmdrels_weight_analyze/0.1_0.8_0.1/ul_83593.xlsx","ul_83593")</f>
        <v>ul_83593</v>
      </c>
      <c r="B423">
        <v>0.33333333333333331</v>
      </c>
      <c r="C423">
        <v>0.33333333333333331</v>
      </c>
      <c r="D423">
        <v>0.33333333333333331</v>
      </c>
      <c r="E423">
        <v>0.66666666666666663</v>
      </c>
      <c r="F423">
        <v>0.33333333333333331</v>
      </c>
      <c r="G423">
        <v>0.91666666666666663</v>
      </c>
    </row>
    <row r="424" spans="1:7" x14ac:dyDescent="0.15">
      <c r="A424" t="str">
        <f>HYPERLINK("./new_k5/query_cmdrels_weight_analyze/0.1_0.8_0.1/ul_84381.xlsx","ul_84381")</f>
        <v>ul_84381</v>
      </c>
      <c r="B424">
        <v>0</v>
      </c>
      <c r="C424">
        <v>0.33333333333333331</v>
      </c>
      <c r="D424">
        <v>0.16666666666666671</v>
      </c>
      <c r="E424">
        <v>0.66666666666666663</v>
      </c>
      <c r="F424">
        <v>0.16666666666666671</v>
      </c>
      <c r="G424">
        <v>0.66666666666666663</v>
      </c>
    </row>
    <row r="425" spans="1:7" x14ac:dyDescent="0.15">
      <c r="A425" t="str">
        <f>HYPERLINK("./new_k5/query_cmdrels_weight_analyze/0.1_0.8_0.1/ul_85180.xlsx","ul_85180")</f>
        <v>ul_85180</v>
      </c>
      <c r="B425">
        <v>0</v>
      </c>
      <c r="C425">
        <v>0</v>
      </c>
      <c r="D425">
        <v>0.16666666666666671</v>
      </c>
      <c r="E425">
        <v>0.1111111111111111</v>
      </c>
      <c r="F425">
        <v>0.16666666666666671</v>
      </c>
      <c r="G425">
        <v>0.27777777777777768</v>
      </c>
    </row>
    <row r="426" spans="1:7" x14ac:dyDescent="0.15">
      <c r="A426" t="str">
        <f>HYPERLINK("./new_k5/query_cmdrels_weight_analyze/0.1_0.8_0.1/ul_86071.xlsx","ul_86071")</f>
        <v>ul_86071</v>
      </c>
      <c r="B426">
        <v>0</v>
      </c>
      <c r="C426">
        <v>0.5</v>
      </c>
      <c r="D426">
        <v>0</v>
      </c>
      <c r="E426">
        <v>0.5</v>
      </c>
      <c r="F426">
        <v>0</v>
      </c>
      <c r="G426">
        <v>0.5</v>
      </c>
    </row>
    <row r="427" spans="1:7" x14ac:dyDescent="0.15">
      <c r="A427" t="str">
        <f>HYPERLINK("./new_k5/query_cmdrels_weight_analyze/0.1_0.8_0.1/ul_86729.xlsx","ul_86729")</f>
        <v>ul_86729</v>
      </c>
      <c r="B427">
        <v>0.5</v>
      </c>
      <c r="C427">
        <v>0</v>
      </c>
      <c r="D427">
        <v>0.5</v>
      </c>
      <c r="E427">
        <v>0</v>
      </c>
      <c r="F427">
        <v>0.5</v>
      </c>
      <c r="G427">
        <v>0</v>
      </c>
    </row>
    <row r="428" spans="1:7" x14ac:dyDescent="0.15">
      <c r="A428" t="str">
        <f>HYPERLINK("./new_k5/query_cmdrels_weight_analyze/0.1_0.8_0.1/ul_88824.xlsx","ul_88824")</f>
        <v>ul_88824</v>
      </c>
      <c r="B428">
        <v>0</v>
      </c>
      <c r="C428">
        <v>0.33333333333333331</v>
      </c>
      <c r="D428">
        <v>0</v>
      </c>
      <c r="E428">
        <v>0.55555555555555547</v>
      </c>
      <c r="F428">
        <v>0</v>
      </c>
      <c r="G428">
        <v>0.55555555555555547</v>
      </c>
    </row>
    <row r="429" spans="1:7" x14ac:dyDescent="0.15">
      <c r="A429" t="str">
        <f>HYPERLINK("./new_k5/query_cmdrels_weight_analyze/0.1_0.8_0.1/ul_8945.xlsx","ul_8945")</f>
        <v>ul_8945</v>
      </c>
      <c r="B429">
        <v>0.5</v>
      </c>
      <c r="C429">
        <v>0.5</v>
      </c>
      <c r="D429">
        <v>0.5</v>
      </c>
      <c r="E429">
        <v>0.5</v>
      </c>
      <c r="F429">
        <v>0.5</v>
      </c>
      <c r="G429">
        <v>0.5</v>
      </c>
    </row>
    <row r="430" spans="1:7" x14ac:dyDescent="0.15">
      <c r="A430" t="str">
        <f>HYPERLINK("./new_k5/query_cmdrels_weight_analyze/0.1_0.8_0.1/ul_89933.xlsx","ul_89933")</f>
        <v>ul_89933</v>
      </c>
      <c r="B430">
        <v>0.5</v>
      </c>
      <c r="C430">
        <v>0.5</v>
      </c>
      <c r="D430">
        <v>0.5</v>
      </c>
      <c r="E430">
        <v>0.5</v>
      </c>
      <c r="F430">
        <v>0.5</v>
      </c>
      <c r="G430">
        <v>0.5</v>
      </c>
    </row>
    <row r="431" spans="1:7" x14ac:dyDescent="0.15">
      <c r="A431" t="str">
        <f>HYPERLINK("./new_k5/query_cmdrels_weight_analyze/0.1_0.8_0.1/ul_91297.xlsx","ul_91297")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 t="str">
        <f>HYPERLINK("./new_k5/query_cmdrels_weight_analyze/0.1_0.8_0.1/ul_9252.xlsx","ul_9252")</f>
        <v>ul_9252</v>
      </c>
      <c r="B432">
        <v>0</v>
      </c>
      <c r="C432">
        <v>0</v>
      </c>
      <c r="D432">
        <v>0.23333333333333331</v>
      </c>
      <c r="E432">
        <v>6.6666666666666666E-2</v>
      </c>
      <c r="F432">
        <v>0.23333333333333331</v>
      </c>
      <c r="G432">
        <v>0.1466666666666667</v>
      </c>
    </row>
    <row r="433" spans="1:7" x14ac:dyDescent="0.15">
      <c r="A433" t="str">
        <f>HYPERLINK("./new_k5/query_cmdrels_weight_analyze/0.1_0.8_0.1/ul_92560.xlsx","ul_92560")</f>
        <v>ul_92560</v>
      </c>
      <c r="B433">
        <v>0</v>
      </c>
      <c r="C433">
        <v>0.5</v>
      </c>
      <c r="D433">
        <v>0</v>
      </c>
      <c r="E433">
        <v>0.5</v>
      </c>
      <c r="F433">
        <v>0</v>
      </c>
      <c r="G433">
        <v>0.5</v>
      </c>
    </row>
    <row r="434" spans="1:7" x14ac:dyDescent="0.15">
      <c r="A434" t="str">
        <f>HYPERLINK("./new_k5/query_cmdrels_weight_analyze/0.1_0.8_0.1/ul_92799.xlsx","ul_92799")</f>
        <v>ul_92799</v>
      </c>
      <c r="B434">
        <v>0.16666666666666671</v>
      </c>
      <c r="C434">
        <v>0.16666666666666671</v>
      </c>
      <c r="D434">
        <v>0.27777777777777768</v>
      </c>
      <c r="E434">
        <v>0.5</v>
      </c>
      <c r="F434">
        <v>0.53611111111111109</v>
      </c>
      <c r="G434">
        <v>0.5</v>
      </c>
    </row>
    <row r="435" spans="1:7" x14ac:dyDescent="0.15">
      <c r="A435" t="str">
        <f>HYPERLINK("./new_k5/query_cmdrels_weight_analyze/0.1_0.8_0.1/ul_93139.xlsx","ul_93139")</f>
        <v>ul_93139</v>
      </c>
      <c r="B435">
        <v>0</v>
      </c>
      <c r="C435">
        <v>0</v>
      </c>
      <c r="D435">
        <v>0.25</v>
      </c>
      <c r="E435">
        <v>0.25</v>
      </c>
      <c r="F435">
        <v>0.25</v>
      </c>
      <c r="G435">
        <v>0.25</v>
      </c>
    </row>
    <row r="436" spans="1:7" x14ac:dyDescent="0.15">
      <c r="A436" t="str">
        <f>HYPERLINK("./new_k5/query_cmdrels_weight_analyze/0.1_0.8_0.1/ul_98461.xlsx","ul_98461")</f>
        <v>ul_98461</v>
      </c>
      <c r="B436">
        <v>0</v>
      </c>
      <c r="C436">
        <v>0</v>
      </c>
      <c r="D436">
        <v>0.5</v>
      </c>
      <c r="E436">
        <v>0</v>
      </c>
      <c r="F436">
        <v>0.5</v>
      </c>
      <c r="G43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1_1_1</vt:lpstr>
      <vt:lpstr>0.1_0.1_0.8</vt:lpstr>
      <vt:lpstr>0.1_0.2_0.7</vt:lpstr>
      <vt:lpstr>0.1_0.3_0.6</vt:lpstr>
      <vt:lpstr>0.1_0.4_0.5</vt:lpstr>
      <vt:lpstr>0.1_0.5_0.4</vt:lpstr>
      <vt:lpstr>0.1_0.6_0.3</vt:lpstr>
      <vt:lpstr>0.1_0.7_0.2</vt:lpstr>
      <vt:lpstr>0.1_0.8_0.1</vt:lpstr>
      <vt:lpstr>0.2_0.1_0.7</vt:lpstr>
      <vt:lpstr>0.2_0.2_0.6</vt:lpstr>
      <vt:lpstr>0.2_0.3_0.5</vt:lpstr>
      <vt:lpstr>0.2_0.4_0.4</vt:lpstr>
      <vt:lpstr>0.2_0.5_0.3</vt:lpstr>
      <vt:lpstr>0.2_0.6_0.2</vt:lpstr>
      <vt:lpstr>0.2_0.7_0.1</vt:lpstr>
      <vt:lpstr>0.3_0.1_0.6</vt:lpstr>
      <vt:lpstr>0.3_0.2_0.5</vt:lpstr>
      <vt:lpstr>0.3_0.3_0.4</vt:lpstr>
      <vt:lpstr>0.3_0.4_0.3</vt:lpstr>
      <vt:lpstr>0.3_0.5_0.2</vt:lpstr>
      <vt:lpstr>0.3_0.6_0.1</vt:lpstr>
      <vt:lpstr>0.4_0.1_0.5</vt:lpstr>
      <vt:lpstr>0.4_0.2_0.4</vt:lpstr>
      <vt:lpstr>0.4_0.3_0.3</vt:lpstr>
      <vt:lpstr>0.4_0.4_0.2</vt:lpstr>
      <vt:lpstr>0.4_0.5_0.1</vt:lpstr>
      <vt:lpstr>0.5_0.1_0.4</vt:lpstr>
      <vt:lpstr>0.5_0.2_0.3</vt:lpstr>
      <vt:lpstr>0.5_0.3_0.2</vt:lpstr>
      <vt:lpstr>0.5_0.4_0.1</vt:lpstr>
      <vt:lpstr>0.6_0.1_0.3</vt:lpstr>
      <vt:lpstr>0.6_0.2_0.2</vt:lpstr>
      <vt:lpstr>0.6_0.3_0.1</vt:lpstr>
      <vt:lpstr>0.7_0.1_0.2</vt:lpstr>
      <vt:lpstr>0.7_0.2_0.1</vt:lpstr>
      <vt:lpstr>0.8_0.1_0.1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明 陈</cp:lastModifiedBy>
  <dcterms:created xsi:type="dcterms:W3CDTF">2023-07-28T06:17:03Z</dcterms:created>
  <dcterms:modified xsi:type="dcterms:W3CDTF">2023-10-23T06:34:50Z</dcterms:modified>
</cp:coreProperties>
</file>