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39731999f38987e0/附件/研三/SF^M^M收尾/"/>
    </mc:Choice>
  </mc:AlternateContent>
  <xr:revisionPtr revIDLastSave="5604" documentId="11_95514CE60D36E4E46271C4415708C3B6FFEC8F94" xr6:coauthVersionLast="47" xr6:coauthVersionMax="47" xr10:uidLastSave="{DBCB78E3-0CFB-44AD-AF05-5B4EBC2373F7}"/>
  <bookViews>
    <workbookView xWindow="-90" yWindow="0" windowWidth="19380" windowHeight="20970" activeTab="1" xr2:uid="{00000000-000D-0000-FFFF-FFFF00000000}"/>
  </bookViews>
  <sheets>
    <sheet name="MAP" sheetId="25" r:id="rId1"/>
    <sheet name="MRR" sheetId="26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36" i="26" l="1"/>
  <c r="A435" i="26"/>
  <c r="A434" i="26"/>
  <c r="A433" i="26"/>
  <c r="A432" i="26"/>
  <c r="A431" i="26"/>
  <c r="A430" i="26"/>
  <c r="A429" i="26"/>
  <c r="A428" i="26"/>
  <c r="A427" i="26"/>
  <c r="A426" i="26"/>
  <c r="A425" i="26"/>
  <c r="A424" i="26"/>
  <c r="A423" i="26"/>
  <c r="A422" i="26"/>
  <c r="A421" i="26"/>
  <c r="A420" i="26"/>
  <c r="A419" i="26"/>
  <c r="A418" i="26"/>
  <c r="A417" i="26"/>
  <c r="A416" i="26"/>
  <c r="A415" i="26"/>
  <c r="A414" i="26"/>
  <c r="A413" i="26"/>
  <c r="A412" i="26"/>
  <c r="A411" i="26"/>
  <c r="A410" i="26"/>
  <c r="A409" i="26"/>
  <c r="A408" i="26"/>
  <c r="A407" i="26"/>
  <c r="A406" i="26"/>
  <c r="A405" i="26"/>
  <c r="A404" i="26"/>
  <c r="A403" i="26"/>
  <c r="A402" i="26"/>
  <c r="A401" i="26"/>
  <c r="A400" i="26"/>
  <c r="A399" i="26"/>
  <c r="A398" i="26"/>
  <c r="A397" i="26"/>
  <c r="A396" i="26"/>
  <c r="A395" i="26"/>
  <c r="A394" i="26"/>
  <c r="A393" i="26"/>
  <c r="A392" i="26"/>
  <c r="A391" i="26"/>
  <c r="A390" i="26"/>
  <c r="A389" i="26"/>
  <c r="A388" i="26"/>
  <c r="A387" i="26"/>
  <c r="A386" i="26"/>
  <c r="A385" i="26"/>
  <c r="A384" i="26"/>
  <c r="A383" i="26"/>
  <c r="A382" i="26"/>
  <c r="A381" i="26"/>
  <c r="A380" i="26"/>
  <c r="A379" i="26"/>
  <c r="A378" i="26"/>
  <c r="A377" i="26"/>
  <c r="A376" i="26"/>
  <c r="A375" i="26"/>
  <c r="A374" i="26"/>
  <c r="A373" i="26"/>
  <c r="A372" i="26"/>
  <c r="A371" i="26"/>
  <c r="A370" i="26"/>
  <c r="A369" i="26"/>
  <c r="A368" i="26"/>
  <c r="A367" i="26"/>
  <c r="A366" i="26"/>
  <c r="A365" i="26"/>
  <c r="A364" i="26"/>
  <c r="A363" i="26"/>
  <c r="A362" i="26"/>
  <c r="A361" i="26"/>
  <c r="A360" i="26"/>
  <c r="A359" i="26"/>
  <c r="A358" i="26"/>
  <c r="A357" i="26"/>
  <c r="A356" i="26"/>
  <c r="A355" i="26"/>
  <c r="A354" i="26"/>
  <c r="A353" i="26"/>
  <c r="A352" i="26"/>
  <c r="A351" i="26"/>
  <c r="A350" i="26"/>
  <c r="A349" i="26"/>
  <c r="A348" i="26"/>
  <c r="A347" i="26"/>
  <c r="A346" i="26"/>
  <c r="A345" i="26"/>
  <c r="A344" i="26"/>
  <c r="A343" i="26"/>
  <c r="A342" i="26"/>
  <c r="A341" i="26"/>
  <c r="A340" i="26"/>
  <c r="A339" i="26"/>
  <c r="A338" i="26"/>
  <c r="A337" i="26"/>
  <c r="A336" i="26"/>
  <c r="A335" i="26"/>
  <c r="A334" i="26"/>
  <c r="A333" i="26"/>
  <c r="A332" i="26"/>
  <c r="A331" i="26"/>
  <c r="A330" i="26"/>
  <c r="A329" i="26"/>
  <c r="A328" i="26"/>
  <c r="A327" i="26"/>
  <c r="A326" i="26"/>
  <c r="A325" i="26"/>
  <c r="A324" i="26"/>
  <c r="A323" i="26"/>
  <c r="A322" i="26"/>
  <c r="A321" i="26"/>
  <c r="A320" i="26"/>
  <c r="A319" i="26"/>
  <c r="A318" i="26"/>
  <c r="A317" i="26"/>
  <c r="A316" i="26"/>
  <c r="A315" i="26"/>
  <c r="A314" i="26"/>
  <c r="A313" i="26"/>
  <c r="A312" i="26"/>
  <c r="A311" i="26"/>
  <c r="A310" i="26"/>
  <c r="A309" i="26"/>
  <c r="A308" i="26"/>
  <c r="A307" i="26"/>
  <c r="A306" i="26"/>
  <c r="A305" i="26"/>
  <c r="A304" i="26"/>
  <c r="A303" i="26"/>
  <c r="A302" i="26"/>
  <c r="A301" i="26"/>
  <c r="A300" i="26"/>
  <c r="A299" i="26"/>
  <c r="A298" i="26"/>
  <c r="A297" i="26"/>
  <c r="A296" i="26"/>
  <c r="A295" i="26"/>
  <c r="A294" i="26"/>
  <c r="A293" i="26"/>
  <c r="A292" i="26"/>
  <c r="A291" i="26"/>
  <c r="A290" i="26"/>
  <c r="A289" i="26"/>
  <c r="A288" i="26"/>
  <c r="A287" i="26"/>
  <c r="A286" i="26"/>
  <c r="A285" i="26"/>
  <c r="A284" i="26"/>
  <c r="A283" i="26"/>
  <c r="A282" i="26"/>
  <c r="A281" i="26"/>
  <c r="A280" i="26"/>
  <c r="A279" i="26"/>
  <c r="A278" i="26"/>
  <c r="A277" i="26"/>
  <c r="A276" i="26"/>
  <c r="A275" i="26"/>
  <c r="A274" i="26"/>
  <c r="A273" i="26"/>
  <c r="A272" i="26"/>
  <c r="A271" i="26"/>
  <c r="A270" i="26"/>
  <c r="A269" i="26"/>
  <c r="A268" i="26"/>
  <c r="A267" i="26"/>
  <c r="A266" i="26"/>
  <c r="A265" i="26"/>
  <c r="A264" i="26"/>
  <c r="A263" i="26"/>
  <c r="A262" i="26"/>
  <c r="A261" i="26"/>
  <c r="A260" i="26"/>
  <c r="A259" i="26"/>
  <c r="A258" i="26"/>
  <c r="A257" i="26"/>
  <c r="A256" i="26"/>
  <c r="A255" i="26"/>
  <c r="A254" i="26"/>
  <c r="A253" i="26"/>
  <c r="A252" i="26"/>
  <c r="A251" i="26"/>
  <c r="A250" i="26"/>
  <c r="A249" i="26"/>
  <c r="A248" i="26"/>
  <c r="A247" i="26"/>
  <c r="A246" i="26"/>
  <c r="A245" i="26"/>
  <c r="A244" i="26"/>
  <c r="A243" i="26"/>
  <c r="A242" i="26"/>
  <c r="A241" i="26"/>
  <c r="A240" i="26"/>
  <c r="A239" i="26"/>
  <c r="A238" i="26"/>
  <c r="A237" i="26"/>
  <c r="A236" i="26"/>
  <c r="A235" i="26"/>
  <c r="A234" i="26"/>
  <c r="A233" i="26"/>
  <c r="A232" i="26"/>
  <c r="A231" i="26"/>
  <c r="A230" i="26"/>
  <c r="A229" i="26"/>
  <c r="A228" i="26"/>
  <c r="A227" i="26"/>
  <c r="A226" i="26"/>
  <c r="A225" i="26"/>
  <c r="A224" i="26"/>
  <c r="A223" i="26"/>
  <c r="A222" i="26"/>
  <c r="A221" i="26"/>
  <c r="A220" i="26"/>
  <c r="A219" i="26"/>
  <c r="A218" i="26"/>
  <c r="A217" i="26"/>
  <c r="A216" i="26"/>
  <c r="A215" i="26"/>
  <c r="A214" i="26"/>
  <c r="A213" i="26"/>
  <c r="A212" i="26"/>
  <c r="A211" i="26"/>
  <c r="A210" i="26"/>
  <c r="A209" i="26"/>
  <c r="A208" i="26"/>
  <c r="A207" i="26"/>
  <c r="A206" i="26"/>
  <c r="A205" i="26"/>
  <c r="A204" i="26"/>
  <c r="A203" i="26"/>
  <c r="A202" i="26"/>
  <c r="A201" i="26"/>
  <c r="A200" i="26"/>
  <c r="A199" i="26"/>
  <c r="A198" i="26"/>
  <c r="A197" i="26"/>
  <c r="A196" i="26"/>
  <c r="A195" i="26"/>
  <c r="A194" i="26"/>
  <c r="A193" i="26"/>
  <c r="A192" i="26"/>
  <c r="A191" i="26"/>
  <c r="A190" i="26"/>
  <c r="A189" i="26"/>
  <c r="A188" i="26"/>
  <c r="A187" i="26"/>
  <c r="A186" i="26"/>
  <c r="A185" i="26"/>
  <c r="A184" i="26"/>
  <c r="A183" i="26"/>
  <c r="A182" i="26"/>
  <c r="A181" i="26"/>
  <c r="A180" i="26"/>
  <c r="A179" i="26"/>
  <c r="A178" i="26"/>
  <c r="A177" i="26"/>
  <c r="A176" i="26"/>
  <c r="A175" i="26"/>
  <c r="A174" i="26"/>
  <c r="A173" i="26"/>
  <c r="A172" i="26"/>
  <c r="A171" i="26"/>
  <c r="A170" i="26"/>
  <c r="A169" i="26"/>
  <c r="A168" i="26"/>
  <c r="A167" i="26"/>
  <c r="A166" i="26"/>
  <c r="A165" i="26"/>
  <c r="A164" i="26"/>
  <c r="A163" i="26"/>
  <c r="A162" i="26"/>
  <c r="A161" i="26"/>
  <c r="A160" i="26"/>
  <c r="A159" i="26"/>
  <c r="A158" i="26"/>
  <c r="A157" i="26"/>
  <c r="A156" i="26"/>
  <c r="A155" i="26"/>
  <c r="A154" i="26"/>
  <c r="A153" i="26"/>
  <c r="A152" i="26"/>
  <c r="A151" i="26"/>
  <c r="A150" i="26"/>
  <c r="A149" i="26"/>
  <c r="A148" i="26"/>
  <c r="A147" i="26"/>
  <c r="A146" i="26"/>
  <c r="A145" i="26"/>
  <c r="A144" i="26"/>
  <c r="A143" i="26"/>
  <c r="A142" i="26"/>
  <c r="A141" i="26"/>
  <c r="A140" i="26"/>
  <c r="A139" i="26"/>
  <c r="A138" i="26"/>
  <c r="A137" i="26"/>
  <c r="A136" i="26"/>
  <c r="A135" i="26"/>
  <c r="A134" i="26"/>
  <c r="A133" i="26"/>
  <c r="A132" i="26"/>
  <c r="A131" i="26"/>
  <c r="A130" i="26"/>
  <c r="A129" i="26"/>
  <c r="A128" i="26"/>
  <c r="A127" i="26"/>
  <c r="A126" i="26"/>
  <c r="A125" i="26"/>
  <c r="A124" i="26"/>
  <c r="A123" i="26"/>
  <c r="A122" i="26"/>
  <c r="A121" i="26"/>
  <c r="A120" i="26"/>
  <c r="A119" i="26"/>
  <c r="A118" i="26"/>
  <c r="A117" i="26"/>
  <c r="A116" i="26"/>
  <c r="A115" i="26"/>
  <c r="A114" i="26"/>
  <c r="A113" i="26"/>
  <c r="A112" i="26"/>
  <c r="A111" i="26"/>
  <c r="A110" i="26"/>
  <c r="A109" i="26"/>
  <c r="A108" i="26"/>
  <c r="A107" i="26"/>
  <c r="A106" i="26"/>
  <c r="A105" i="26"/>
  <c r="A104" i="26"/>
  <c r="A103" i="26"/>
  <c r="A102" i="26"/>
  <c r="A101" i="26"/>
  <c r="A100" i="26"/>
  <c r="A99" i="26"/>
  <c r="A98" i="26"/>
  <c r="A97" i="26"/>
  <c r="A96" i="26"/>
  <c r="A95" i="26"/>
  <c r="A94" i="26"/>
  <c r="A93" i="26"/>
  <c r="A92" i="26"/>
  <c r="A91" i="26"/>
  <c r="A90" i="26"/>
  <c r="A89" i="26"/>
  <c r="A88" i="26"/>
  <c r="A87" i="26"/>
  <c r="A86" i="26"/>
  <c r="A85" i="26"/>
  <c r="A84" i="26"/>
  <c r="A83" i="26"/>
  <c r="A82" i="26"/>
  <c r="A81" i="26"/>
  <c r="A80" i="26"/>
  <c r="A79" i="26"/>
  <c r="A78" i="26"/>
  <c r="A77" i="26"/>
  <c r="A76" i="26"/>
  <c r="A75" i="26"/>
  <c r="A74" i="26"/>
  <c r="A73" i="26"/>
  <c r="A72" i="26"/>
  <c r="A71" i="26"/>
  <c r="A70" i="26"/>
  <c r="A69" i="26"/>
  <c r="A68" i="26"/>
  <c r="A67" i="26"/>
  <c r="A66" i="26"/>
  <c r="A65" i="26"/>
  <c r="A64" i="26"/>
  <c r="A63" i="26"/>
  <c r="A62" i="26"/>
  <c r="A61" i="26"/>
  <c r="A60" i="26"/>
  <c r="A59" i="26"/>
  <c r="A58" i="26"/>
  <c r="A57" i="26"/>
  <c r="A56" i="26"/>
  <c r="A55" i="26"/>
  <c r="A54" i="26"/>
  <c r="A53" i="26"/>
  <c r="A52" i="26"/>
  <c r="A51" i="26"/>
  <c r="A50" i="26"/>
  <c r="A49" i="26"/>
  <c r="A48" i="26"/>
  <c r="A47" i="26"/>
  <c r="A46" i="26"/>
  <c r="A45" i="26"/>
  <c r="A44" i="26"/>
  <c r="A43" i="26"/>
  <c r="A42" i="26"/>
  <c r="A41" i="26"/>
  <c r="A40" i="26"/>
  <c r="A39" i="26"/>
  <c r="A38" i="26"/>
  <c r="A37" i="26"/>
  <c r="A36" i="26"/>
  <c r="A35" i="26"/>
  <c r="A34" i="26"/>
  <c r="A33" i="26"/>
  <c r="A32" i="26"/>
  <c r="A31" i="26"/>
  <c r="A30" i="26"/>
  <c r="A29" i="26"/>
  <c r="A28" i="26"/>
  <c r="A27" i="26"/>
  <c r="A26" i="26"/>
  <c r="A25" i="26"/>
  <c r="A24" i="26"/>
  <c r="A23" i="26"/>
  <c r="A22" i="26"/>
  <c r="A21" i="26"/>
  <c r="A20" i="26"/>
  <c r="A19" i="26"/>
  <c r="A18" i="26"/>
  <c r="A17" i="26"/>
  <c r="A16" i="26"/>
  <c r="A15" i="26"/>
  <c r="A14" i="26"/>
  <c r="A13" i="26"/>
  <c r="A12" i="26"/>
  <c r="A11" i="26"/>
  <c r="A10" i="26"/>
  <c r="A9" i="26"/>
  <c r="A8" i="26"/>
  <c r="A7" i="26"/>
  <c r="A6" i="26"/>
  <c r="A5" i="26"/>
  <c r="A4" i="26"/>
  <c r="A3" i="26"/>
  <c r="G2" i="26"/>
  <c r="E2" i="26"/>
  <c r="C2" i="26"/>
  <c r="C2" i="25" l="1"/>
  <c r="E2" i="25"/>
  <c r="G2" i="25"/>
  <c r="A436" i="25"/>
  <c r="A435" i="25"/>
  <c r="A434" i="25"/>
  <c r="A433" i="25"/>
  <c r="A432" i="25"/>
  <c r="A431" i="25"/>
  <c r="A430" i="25"/>
  <c r="A429" i="25"/>
  <c r="A428" i="25"/>
  <c r="A427" i="25"/>
  <c r="A426" i="25"/>
  <c r="A425" i="25"/>
  <c r="A424" i="25"/>
  <c r="A423" i="25"/>
  <c r="A422" i="25"/>
  <c r="A421" i="25"/>
  <c r="A420" i="25"/>
  <c r="A419" i="25"/>
  <c r="A418" i="25"/>
  <c r="A417" i="25"/>
  <c r="A416" i="25"/>
  <c r="A415" i="25"/>
  <c r="A414" i="25"/>
  <c r="A413" i="25"/>
  <c r="A412" i="25"/>
  <c r="A411" i="25"/>
  <c r="A410" i="25"/>
  <c r="A409" i="25"/>
  <c r="A408" i="25"/>
  <c r="A407" i="25"/>
  <c r="A406" i="25"/>
  <c r="A405" i="25"/>
  <c r="A404" i="25"/>
  <c r="A403" i="25"/>
  <c r="A402" i="25"/>
  <c r="A401" i="25"/>
  <c r="A400" i="25"/>
  <c r="A399" i="25"/>
  <c r="A398" i="25"/>
  <c r="A397" i="25"/>
  <c r="A396" i="25"/>
  <c r="A395" i="25"/>
  <c r="A394" i="25"/>
  <c r="A393" i="25"/>
  <c r="A392" i="25"/>
  <c r="A391" i="25"/>
  <c r="A390" i="25"/>
  <c r="A389" i="25"/>
  <c r="A388" i="25"/>
  <c r="A387" i="25"/>
  <c r="A386" i="25"/>
  <c r="A385" i="25"/>
  <c r="A384" i="25"/>
  <c r="A383" i="25"/>
  <c r="A382" i="25"/>
  <c r="A381" i="25"/>
  <c r="A380" i="25"/>
  <c r="A379" i="25"/>
  <c r="A378" i="25"/>
  <c r="A377" i="25"/>
  <c r="A376" i="25"/>
  <c r="A375" i="25"/>
  <c r="A374" i="25"/>
  <c r="A373" i="25"/>
  <c r="A372" i="25"/>
  <c r="A371" i="25"/>
  <c r="A370" i="25"/>
  <c r="A369" i="25"/>
  <c r="A368" i="25"/>
  <c r="A367" i="25"/>
  <c r="A366" i="25"/>
  <c r="A365" i="25"/>
  <c r="A364" i="25"/>
  <c r="A363" i="25"/>
  <c r="A362" i="25"/>
  <c r="A361" i="25"/>
  <c r="A360" i="25"/>
  <c r="A359" i="25"/>
  <c r="A358" i="25"/>
  <c r="A357" i="25"/>
  <c r="A356" i="25"/>
  <c r="A355" i="25"/>
  <c r="A354" i="25"/>
  <c r="A353" i="25"/>
  <c r="A352" i="25"/>
  <c r="A351" i="25"/>
  <c r="A350" i="25"/>
  <c r="A349" i="25"/>
  <c r="A348" i="25"/>
  <c r="A347" i="25"/>
  <c r="A346" i="25"/>
  <c r="A345" i="25"/>
  <c r="A344" i="25"/>
  <c r="A343" i="25"/>
  <c r="A342" i="25"/>
  <c r="A341" i="25"/>
  <c r="A340" i="25"/>
  <c r="A339" i="25"/>
  <c r="A338" i="25"/>
  <c r="A337" i="25"/>
  <c r="A336" i="25"/>
  <c r="A335" i="25"/>
  <c r="A334" i="25"/>
  <c r="A333" i="25"/>
  <c r="A332" i="25"/>
  <c r="A331" i="25"/>
  <c r="A330" i="25"/>
  <c r="A329" i="25"/>
  <c r="A328" i="25"/>
  <c r="A327" i="25"/>
  <c r="A326" i="25"/>
  <c r="A325" i="25"/>
  <c r="A324" i="25"/>
  <c r="A323" i="25"/>
  <c r="A322" i="25"/>
  <c r="A321" i="25"/>
  <c r="A320" i="25"/>
  <c r="A319" i="25"/>
  <c r="A318" i="25"/>
  <c r="A317" i="25"/>
  <c r="A316" i="25"/>
  <c r="A315" i="25"/>
  <c r="A314" i="25"/>
  <c r="A313" i="25"/>
  <c r="A312" i="25"/>
  <c r="A311" i="25"/>
  <c r="A310" i="25"/>
  <c r="A309" i="25"/>
  <c r="A308" i="25"/>
  <c r="A307" i="25"/>
  <c r="A306" i="25"/>
  <c r="A305" i="25"/>
  <c r="A304" i="25"/>
  <c r="A303" i="25"/>
  <c r="A302" i="25"/>
  <c r="A301" i="25"/>
  <c r="A300" i="25"/>
  <c r="A299" i="25"/>
  <c r="A298" i="25"/>
  <c r="A297" i="25"/>
  <c r="A296" i="25"/>
  <c r="A295" i="25"/>
  <c r="A294" i="25"/>
  <c r="A293" i="25"/>
  <c r="A292" i="25"/>
  <c r="A291" i="25"/>
  <c r="A290" i="25"/>
  <c r="A289" i="25"/>
  <c r="A288" i="25"/>
  <c r="A287" i="25"/>
  <c r="A286" i="25"/>
  <c r="A285" i="25"/>
  <c r="A284" i="25"/>
  <c r="A283" i="25"/>
  <c r="A282" i="25"/>
  <c r="A281" i="25"/>
  <c r="A280" i="25"/>
  <c r="A279" i="25"/>
  <c r="A278" i="25"/>
  <c r="A277" i="25"/>
  <c r="A276" i="25"/>
  <c r="A275" i="25"/>
  <c r="A274" i="25"/>
  <c r="A273" i="25"/>
  <c r="A272" i="25"/>
  <c r="A271" i="25"/>
  <c r="A270" i="25"/>
  <c r="A269" i="25"/>
  <c r="A268" i="25"/>
  <c r="A267" i="25"/>
  <c r="A266" i="25"/>
  <c r="A265" i="25"/>
  <c r="A264" i="25"/>
  <c r="A263" i="25"/>
  <c r="A262" i="25"/>
  <c r="A261" i="25"/>
  <c r="A260" i="25"/>
  <c r="A259" i="25"/>
  <c r="A258" i="25"/>
  <c r="A257" i="25"/>
  <c r="A256" i="25"/>
  <c r="A255" i="25"/>
  <c r="A254" i="25"/>
  <c r="A253" i="25"/>
  <c r="A252" i="25"/>
  <c r="A251" i="25"/>
  <c r="A250" i="25"/>
  <c r="A249" i="25"/>
  <c r="A248" i="25"/>
  <c r="A247" i="25"/>
  <c r="A246" i="25"/>
  <c r="A245" i="25"/>
  <c r="A244" i="25"/>
  <c r="A243" i="25"/>
  <c r="A242" i="25"/>
  <c r="A241" i="25"/>
  <c r="A240" i="25"/>
  <c r="A239" i="25"/>
  <c r="A238" i="25"/>
  <c r="A237" i="25"/>
  <c r="A236" i="25"/>
  <c r="A235" i="25"/>
  <c r="A234" i="25"/>
  <c r="A233" i="25"/>
  <c r="A232" i="25"/>
  <c r="A231" i="25"/>
  <c r="A230" i="25"/>
  <c r="A229" i="25"/>
  <c r="A228" i="25"/>
  <c r="A227" i="25"/>
  <c r="A226" i="25"/>
  <c r="A225" i="25"/>
  <c r="A224" i="25"/>
  <c r="A223" i="25"/>
  <c r="A222" i="25"/>
  <c r="A221" i="25"/>
  <c r="A220" i="25"/>
  <c r="A219" i="25"/>
  <c r="A218" i="25"/>
  <c r="A217" i="25"/>
  <c r="A216" i="25"/>
  <c r="A215" i="25"/>
  <c r="A214" i="25"/>
  <c r="A213" i="25"/>
  <c r="A212" i="25"/>
  <c r="A211" i="25"/>
  <c r="A210" i="25"/>
  <c r="A209" i="25"/>
  <c r="A208" i="25"/>
  <c r="A207" i="25"/>
  <c r="A206" i="25"/>
  <c r="A205" i="25"/>
  <c r="A204" i="25"/>
  <c r="A203" i="25"/>
  <c r="A202" i="25"/>
  <c r="A201" i="25"/>
  <c r="A200" i="25"/>
  <c r="A199" i="25"/>
  <c r="A198" i="25"/>
  <c r="A197" i="25"/>
  <c r="A196" i="25"/>
  <c r="A195" i="25"/>
  <c r="A194" i="25"/>
  <c r="A193" i="25"/>
  <c r="A192" i="25"/>
  <c r="A191" i="25"/>
  <c r="A190" i="25"/>
  <c r="A189" i="25"/>
  <c r="A188" i="25"/>
  <c r="A187" i="25"/>
  <c r="A186" i="25"/>
  <c r="A185" i="25"/>
  <c r="A184" i="25"/>
  <c r="A183" i="25"/>
  <c r="A182" i="25"/>
  <c r="A181" i="25"/>
  <c r="A180" i="25"/>
  <c r="A179" i="25"/>
  <c r="A178" i="25"/>
  <c r="A177" i="25"/>
  <c r="A176" i="25"/>
  <c r="A175" i="25"/>
  <c r="A174" i="25"/>
  <c r="A173" i="25"/>
  <c r="A172" i="25"/>
  <c r="A171" i="25"/>
  <c r="A170" i="25"/>
  <c r="A169" i="25"/>
  <c r="A168" i="25"/>
  <c r="A167" i="25"/>
  <c r="A166" i="25"/>
  <c r="A165" i="25"/>
  <c r="A164" i="25"/>
  <c r="A163" i="25"/>
  <c r="A162" i="25"/>
  <c r="A161" i="25"/>
  <c r="A160" i="25"/>
  <c r="A159" i="25"/>
  <c r="A158" i="25"/>
  <c r="A157" i="25"/>
  <c r="A156" i="25"/>
  <c r="A155" i="25"/>
  <c r="A154" i="25"/>
  <c r="A153" i="25"/>
  <c r="A152" i="25"/>
  <c r="A151" i="25"/>
  <c r="A150" i="25"/>
  <c r="A149" i="25"/>
  <c r="A148" i="25"/>
  <c r="A147" i="25"/>
  <c r="A146" i="25"/>
  <c r="A145" i="25"/>
  <c r="A144" i="25"/>
  <c r="A143" i="25"/>
  <c r="A142" i="25"/>
  <c r="A141" i="25"/>
  <c r="A140" i="25"/>
  <c r="A139" i="25"/>
  <c r="A138" i="25"/>
  <c r="A137" i="25"/>
  <c r="A136" i="25"/>
  <c r="A135" i="25"/>
  <c r="A134" i="25"/>
  <c r="A133" i="25"/>
  <c r="A132" i="25"/>
  <c r="A131" i="25"/>
  <c r="A130" i="25"/>
  <c r="A129" i="25"/>
  <c r="A128" i="25"/>
  <c r="A127" i="25"/>
  <c r="A126" i="25"/>
  <c r="A125" i="25"/>
  <c r="A124" i="25"/>
  <c r="A123" i="25"/>
  <c r="A122" i="25"/>
  <c r="A121" i="25"/>
  <c r="A120" i="25"/>
  <c r="A119" i="25"/>
  <c r="A118" i="25"/>
  <c r="A117" i="25"/>
  <c r="A116" i="25"/>
  <c r="A115" i="25"/>
  <c r="A114" i="25"/>
  <c r="A113" i="25"/>
  <c r="A112" i="25"/>
  <c r="A111" i="25"/>
  <c r="A110" i="25"/>
  <c r="A109" i="25"/>
  <c r="A108" i="25"/>
  <c r="A107" i="25"/>
  <c r="A106" i="25"/>
  <c r="A105" i="25"/>
  <c r="A104" i="25"/>
  <c r="A103" i="25"/>
  <c r="A102" i="25"/>
  <c r="A101" i="25"/>
  <c r="A100" i="25"/>
  <c r="A99" i="25"/>
  <c r="A98" i="25"/>
  <c r="A97" i="25"/>
  <c r="A96" i="25"/>
  <c r="A95" i="25"/>
  <c r="A94" i="25"/>
  <c r="A93" i="25"/>
  <c r="A92" i="25"/>
  <c r="A91" i="25"/>
  <c r="A90" i="25"/>
  <c r="A89" i="25"/>
  <c r="A88" i="25"/>
  <c r="A87" i="25"/>
  <c r="A86" i="25"/>
  <c r="A85" i="25"/>
  <c r="A84" i="25"/>
  <c r="A83" i="25"/>
  <c r="A82" i="25"/>
  <c r="A81" i="25"/>
  <c r="A80" i="25"/>
  <c r="A79" i="25"/>
  <c r="A78" i="25"/>
  <c r="A77" i="25"/>
  <c r="A76" i="25"/>
  <c r="A75" i="25"/>
  <c r="A74" i="25"/>
  <c r="A73" i="25"/>
  <c r="A72" i="25"/>
  <c r="A71" i="25"/>
  <c r="A70" i="25"/>
  <c r="A69" i="25"/>
  <c r="A68" i="25"/>
  <c r="A67" i="25"/>
  <c r="A66" i="25"/>
  <c r="A65" i="25"/>
  <c r="A64" i="25"/>
  <c r="A63" i="25"/>
  <c r="A62" i="25"/>
  <c r="A61" i="25"/>
  <c r="A60" i="25"/>
  <c r="A59" i="25"/>
  <c r="A58" i="25"/>
  <c r="A57" i="25"/>
  <c r="A56" i="25"/>
  <c r="A55" i="25"/>
  <c r="A54" i="25"/>
  <c r="A53" i="25"/>
  <c r="A52" i="25"/>
  <c r="A51" i="25"/>
  <c r="A50" i="25"/>
  <c r="A49" i="25"/>
  <c r="A48" i="25"/>
  <c r="A47" i="25"/>
  <c r="A46" i="25"/>
  <c r="A45" i="25"/>
  <c r="A44" i="25"/>
  <c r="A43" i="25"/>
  <c r="A42" i="25"/>
  <c r="A41" i="25"/>
  <c r="A40" i="25"/>
  <c r="A39" i="25"/>
  <c r="A38" i="25"/>
  <c r="A37" i="25"/>
  <c r="A36" i="25"/>
  <c r="A35" i="25"/>
  <c r="A34" i="25"/>
  <c r="A33" i="25"/>
  <c r="A32" i="25"/>
  <c r="A31" i="25"/>
  <c r="A30" i="25"/>
  <c r="A29" i="25"/>
  <c r="A28" i="25"/>
  <c r="A27" i="25"/>
  <c r="A26" i="25"/>
  <c r="A25" i="25"/>
  <c r="A24" i="25"/>
  <c r="A23" i="25"/>
  <c r="A22" i="25"/>
  <c r="A21" i="25"/>
  <c r="A20" i="25"/>
  <c r="A19" i="25"/>
  <c r="A18" i="25"/>
  <c r="A17" i="25"/>
  <c r="A16" i="25"/>
  <c r="A15" i="25"/>
  <c r="A14" i="25"/>
  <c r="A13" i="25"/>
  <c r="A12" i="25"/>
  <c r="A11" i="25"/>
  <c r="A10" i="25"/>
  <c r="A9" i="25"/>
  <c r="A8" i="25"/>
  <c r="A7" i="25"/>
  <c r="A6" i="25"/>
  <c r="A5" i="25"/>
  <c r="A4" i="25"/>
  <c r="A3" i="25"/>
</calcChain>
</file>

<file path=xl/sharedStrings.xml><?xml version="1.0" encoding="utf-8"?>
<sst xmlns="http://schemas.openxmlformats.org/spreadsheetml/2006/main" count="138" uniqueCount="34">
  <si>
    <t>ID</t>
  </si>
  <si>
    <t>NEW AP@1</t>
  </si>
  <si>
    <t>NEW AP@3</t>
  </si>
  <si>
    <t>NEW AP@5</t>
  </si>
  <si>
    <t>AVG</t>
  </si>
  <si>
    <t>SUMMARY</t>
  </si>
  <si>
    <t>观测数</t>
  </si>
  <si>
    <t>求和</t>
  </si>
  <si>
    <t>平均</t>
  </si>
  <si>
    <t>方差</t>
  </si>
  <si>
    <t>列 1</t>
  </si>
  <si>
    <t>列 2</t>
  </si>
  <si>
    <t>方差分析</t>
  </si>
  <si>
    <t>差异源</t>
  </si>
  <si>
    <t>SS</t>
  </si>
  <si>
    <t>df</t>
  </si>
  <si>
    <t>MS</t>
  </si>
  <si>
    <t>F</t>
  </si>
  <si>
    <t>P-value</t>
  </si>
  <si>
    <t>F crit</t>
  </si>
  <si>
    <t>总计</t>
  </si>
  <si>
    <t>方差分析：单因素方差分析</t>
  </si>
  <si>
    <t>组</t>
  </si>
  <si>
    <t>组间</t>
  </si>
  <si>
    <t>组内</t>
  </si>
  <si>
    <t>variant AP@1</t>
    <phoneticPr fontId="1" type="noConversion"/>
  </si>
  <si>
    <t>variant AP@3</t>
    <phoneticPr fontId="1" type="noConversion"/>
  </si>
  <si>
    <t>variant AP@5</t>
    <phoneticPr fontId="1" type="noConversion"/>
  </si>
  <si>
    <t>NEW RR@1</t>
  </si>
  <si>
    <t>NEW RR@3</t>
  </si>
  <si>
    <t>NEW RR@5</t>
  </si>
  <si>
    <t>variant RR@1</t>
    <phoneticPr fontId="1" type="noConversion"/>
  </si>
  <si>
    <t>variant RR@3</t>
    <phoneticPr fontId="1" type="noConversion"/>
  </si>
  <si>
    <t>variant RR@5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</si>
</sst>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_);[Red]\(0.000\)"/>
  </numFmts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006100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>
      <alignment vertical="center"/>
    </xf>
  </cellStyleXfs>
  <cellXfs count="8">
    <xf numFmtId="0" fontId="0" fillId="0" borderId="0" xfId="0"/>
    <xf numFmtId="0" fontId="2" fillId="2" borderId="0" xfId="1" applyAlignment="1"/>
    <xf numFmtId="176" fontId="0" fillId="0" borderId="0" xfId="0" applyNumberFormat="1" applyAlignment="1">
      <alignment horizontal="center" vertical="center"/>
    </xf>
    <xf numFmtId="176" fontId="2" fillId="2" borderId="0" xfId="1" applyNumberFormat="1" applyAlignment="1">
      <alignment horizontal="center" vertical="center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3" fillId="0" borderId="0" xfId="0" applyFont="1"/>
  </cellXfs>
  <cellStyles count="2">
    <cellStyle name="常规" xfId="0" builtinId="0"/>
    <cellStyle name="好" xfId="1" builtinId="26"/>
  </cellStyles>
  <dxfs count="8">
    <dxf>
      <font>
        <color rgb="FFC00000"/>
      </font>
      <fill>
        <patternFill>
          <bgColor theme="9" tint="0.59996337778862885"/>
        </patternFill>
      </fill>
    </dxf>
    <dxf>
      <font>
        <color theme="0"/>
      </font>
      <fill>
        <patternFill>
          <bgColor theme="6" tint="-0.24994659260841701"/>
        </patternFill>
      </fill>
    </dxf>
    <dxf>
      <font>
        <color rgb="FFC00000"/>
      </font>
      <fill>
        <patternFill>
          <bgColor theme="9" tint="0.59996337778862885"/>
        </patternFill>
      </fill>
    </dxf>
    <dxf>
      <font>
        <color theme="0"/>
      </font>
      <fill>
        <patternFill>
          <bgColor theme="6" tint="-0.24994659260841701"/>
        </patternFill>
      </fill>
    </dxf>
    <dxf>
      <font>
        <color rgb="FFC00000"/>
      </font>
      <fill>
        <patternFill>
          <bgColor theme="9" tint="0.59996337778862885"/>
        </patternFill>
      </fill>
    </dxf>
    <dxf>
      <font>
        <color theme="0"/>
      </font>
      <fill>
        <patternFill>
          <bgColor theme="6" tint="-0.24994659260841701"/>
        </patternFill>
      </fill>
    </dxf>
    <dxf>
      <font>
        <strike val="0"/>
        <color theme="0"/>
      </font>
      <fill>
        <patternFill>
          <bgColor theme="9" tint="-0.24994659260841701"/>
        </patternFill>
      </fill>
    </dxf>
    <dxf>
      <font>
        <strike val="0"/>
        <color theme="0"/>
      </font>
      <fill>
        <patternFill>
          <bgColor theme="6" tint="-0.49998474074526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AD450"/>
  <sheetViews>
    <sheetView topLeftCell="J1" workbookViewId="0">
      <selection activeCell="T11" activeCellId="2" sqref="M11 AA11 T11"/>
    </sheetView>
  </sheetViews>
  <sheetFormatPr defaultRowHeight="14" x14ac:dyDescent="0.25"/>
  <cols>
    <col min="1" max="1" width="33.90625" bestFit="1" customWidth="1"/>
    <col min="2" max="2" width="17.7265625" bestFit="1" customWidth="1"/>
    <col min="3" max="3" width="18.90625" bestFit="1" customWidth="1"/>
    <col min="4" max="4" width="17.7265625" bestFit="1" customWidth="1"/>
    <col min="5" max="5" width="18.90625" bestFit="1" customWidth="1"/>
    <col min="6" max="6" width="17.7265625" bestFit="1" customWidth="1"/>
    <col min="7" max="7" width="18.90625" bestFit="1" customWidth="1"/>
  </cols>
  <sheetData>
    <row r="1" spans="1:28" x14ac:dyDescent="0.25">
      <c r="A1" s="2" t="s">
        <v>0</v>
      </c>
      <c r="B1" t="s">
        <v>25</v>
      </c>
      <c r="C1" s="1" t="s">
        <v>1</v>
      </c>
      <c r="D1" s="2" t="s">
        <v>26</v>
      </c>
      <c r="E1" s="3" t="s">
        <v>2</v>
      </c>
      <c r="F1" s="2" t="s">
        <v>27</v>
      </c>
      <c r="G1" s="3" t="s">
        <v>3</v>
      </c>
      <c r="H1" t="s">
        <v>21</v>
      </c>
      <c r="O1" t="s">
        <v>21</v>
      </c>
      <c r="V1" t="s">
        <v>21</v>
      </c>
    </row>
    <row r="2" spans="1:28" x14ac:dyDescent="0.25">
      <c r="A2" s="2" t="s">
        <v>4</v>
      </c>
      <c r="B2" s="2">
        <v>0.111163228732353</v>
      </c>
      <c r="C2" s="3">
        <f t="shared" ref="C2:G2" si="0">SUM(C3:C436)/COUNT(C3:C436)</f>
        <v>0.21042360737061214</v>
      </c>
      <c r="D2" s="2">
        <v>0.16022759136238399</v>
      </c>
      <c r="E2" s="3">
        <f t="shared" si="0"/>
        <v>0.36626434135074648</v>
      </c>
      <c r="F2" s="2">
        <v>0.18980470299882701</v>
      </c>
      <c r="G2" s="3">
        <f t="shared" si="0"/>
        <v>0.43477781712228697</v>
      </c>
    </row>
    <row r="3" spans="1:28" ht="14.5" thickBot="1" x14ac:dyDescent="0.3">
      <c r="A3" s="2" t="str">
        <f>HYPERLINK("./new_k5/query_cmdrels_weight_analyze/0.4_0.3_0.3/au_102733.xlsx","au_102733")</f>
        <v>au_102733</v>
      </c>
      <c r="B3" s="2">
        <v>0</v>
      </c>
      <c r="C3" s="2">
        <v>0.25</v>
      </c>
      <c r="D3" s="2">
        <v>0</v>
      </c>
      <c r="E3" s="2">
        <v>0.25</v>
      </c>
      <c r="F3" s="2">
        <v>0.16250000000000001</v>
      </c>
      <c r="G3" s="2">
        <v>0.25</v>
      </c>
      <c r="H3" t="s">
        <v>5</v>
      </c>
      <c r="O3" t="s">
        <v>5</v>
      </c>
      <c r="V3" t="s">
        <v>5</v>
      </c>
    </row>
    <row r="4" spans="1:28" x14ac:dyDescent="0.25">
      <c r="A4" s="2" t="str">
        <f>HYPERLINK("./new_k5/query_cmdrels_weight_analyze/0.4_0.3_0.3/au_1029436.xlsx","au_1029436")</f>
        <v>au_1029436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5" t="s">
        <v>22</v>
      </c>
      <c r="I4" s="5" t="s">
        <v>6</v>
      </c>
      <c r="J4" s="5" t="s">
        <v>7</v>
      </c>
      <c r="K4" s="5" t="s">
        <v>8</v>
      </c>
      <c r="L4" s="5" t="s">
        <v>9</v>
      </c>
      <c r="O4" s="5" t="s">
        <v>22</v>
      </c>
      <c r="P4" s="5" t="s">
        <v>6</v>
      </c>
      <c r="Q4" s="5" t="s">
        <v>7</v>
      </c>
      <c r="R4" s="5" t="s">
        <v>8</v>
      </c>
      <c r="S4" s="5" t="s">
        <v>9</v>
      </c>
      <c r="V4" s="5" t="s">
        <v>22</v>
      </c>
      <c r="W4" s="5" t="s">
        <v>6</v>
      </c>
      <c r="X4" s="5" t="s">
        <v>7</v>
      </c>
      <c r="Y4" s="5" t="s">
        <v>8</v>
      </c>
      <c r="Z4" s="5" t="s">
        <v>9</v>
      </c>
    </row>
    <row r="5" spans="1:28" x14ac:dyDescent="0.25">
      <c r="A5" s="2" t="str">
        <f>HYPERLINK("./new_k5/query_cmdrels_weight_analyze/0.4_0.3_0.3/au_1029502.xlsx","au_1029502")</f>
        <v>au_1029502</v>
      </c>
      <c r="B5" s="2">
        <v>0</v>
      </c>
      <c r="C5" s="2">
        <v>0.25</v>
      </c>
      <c r="D5" s="2">
        <v>0</v>
      </c>
      <c r="E5" s="2">
        <v>0.25</v>
      </c>
      <c r="F5" s="2">
        <v>0</v>
      </c>
      <c r="G5" s="2">
        <v>0.25</v>
      </c>
      <c r="H5" t="s">
        <v>10</v>
      </c>
      <c r="I5">
        <v>434</v>
      </c>
      <c r="J5">
        <v>48.244841269841267</v>
      </c>
      <c r="K5">
        <v>0.11116322873235315</v>
      </c>
      <c r="L5">
        <v>4.8270462828340223E-2</v>
      </c>
      <c r="O5" t="s">
        <v>10</v>
      </c>
      <c r="P5">
        <v>434</v>
      </c>
      <c r="Q5">
        <v>69.538774651274665</v>
      </c>
      <c r="R5">
        <v>0.16022759136238401</v>
      </c>
      <c r="S5">
        <v>5.6396160542909281E-2</v>
      </c>
      <c r="V5" t="s">
        <v>10</v>
      </c>
      <c r="W5">
        <v>434</v>
      </c>
      <c r="X5">
        <v>82.375241101491028</v>
      </c>
      <c r="Y5">
        <v>0.18980470299882726</v>
      </c>
      <c r="Z5">
        <v>5.9015347752523394E-2</v>
      </c>
    </row>
    <row r="6" spans="1:28" ht="14.5" thickBot="1" x14ac:dyDescent="0.3">
      <c r="A6" s="2" t="str">
        <f>HYPERLINK("./new_k5/query_cmdrels_weight_analyze/0.4_0.3_0.3/au_1029531.xlsx","au_1029531")</f>
        <v>au_1029531</v>
      </c>
      <c r="B6" s="2">
        <v>0</v>
      </c>
      <c r="C6" s="2">
        <v>0.33333333333333331</v>
      </c>
      <c r="D6" s="2">
        <v>0</v>
      </c>
      <c r="E6" s="2">
        <v>0.33333333333333331</v>
      </c>
      <c r="F6" s="2">
        <v>0</v>
      </c>
      <c r="G6" s="2">
        <v>0.33333333333333331</v>
      </c>
      <c r="H6" s="4" t="s">
        <v>11</v>
      </c>
      <c r="I6" s="4">
        <v>434</v>
      </c>
      <c r="J6" s="4">
        <v>91.323845598845665</v>
      </c>
      <c r="K6" s="4">
        <v>0.21042360737061214</v>
      </c>
      <c r="L6" s="4">
        <v>5.442076723495945E-2</v>
      </c>
      <c r="O6" s="4" t="s">
        <v>11</v>
      </c>
      <c r="P6" s="4">
        <v>434</v>
      </c>
      <c r="Q6" s="4">
        <v>158.95872414622397</v>
      </c>
      <c r="R6" s="4">
        <v>0.36626434135074648</v>
      </c>
      <c r="S6" s="4">
        <v>7.502010470414161E-2</v>
      </c>
      <c r="V6" s="4" t="s">
        <v>11</v>
      </c>
      <c r="W6" s="4">
        <v>434</v>
      </c>
      <c r="X6" s="4">
        <v>188.69357263107256</v>
      </c>
      <c r="Y6" s="4">
        <v>0.43477781712228697</v>
      </c>
      <c r="Z6" s="4">
        <v>7.7304459666366385E-2</v>
      </c>
    </row>
    <row r="7" spans="1:28" x14ac:dyDescent="0.25">
      <c r="A7" s="2" t="str">
        <f>HYPERLINK("./new_k5/query_cmdrels_weight_analyze/0.4_0.3_0.3/au_104542.xlsx","au_104542")</f>
        <v>au_104542</v>
      </c>
      <c r="B7" s="2">
        <v>0</v>
      </c>
      <c r="C7" s="2">
        <v>0.125</v>
      </c>
      <c r="D7" s="2">
        <v>4.1666666666666602E-2</v>
      </c>
      <c r="E7" s="2">
        <v>0.20833333333333329</v>
      </c>
      <c r="F7" s="2">
        <v>4.1666666666666602E-2</v>
      </c>
      <c r="G7" s="2">
        <v>0.30208333333333331</v>
      </c>
    </row>
    <row r="8" spans="1:28" x14ac:dyDescent="0.25">
      <c r="A8" s="2" t="str">
        <f>HYPERLINK("./new_k5/query_cmdrels_weight_analyze/0.4_0.3_0.3/au_109070.xlsx","au_109070")</f>
        <v>au_109070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0.05</v>
      </c>
    </row>
    <row r="9" spans="1:28" ht="14.5" thickBot="1" x14ac:dyDescent="0.3">
      <c r="A9" s="2" t="str">
        <f>HYPERLINK("./new_k5/query_cmdrels_weight_analyze/0.4_0.3_0.3/au_109381.xlsx","au_109381")</f>
        <v>au_109381</v>
      </c>
      <c r="B9" s="2">
        <v>0</v>
      </c>
      <c r="C9" s="2">
        <v>0</v>
      </c>
      <c r="D9" s="2">
        <v>0.25</v>
      </c>
      <c r="E9" s="2">
        <v>0.25</v>
      </c>
      <c r="F9" s="2">
        <v>0.25</v>
      </c>
      <c r="G9" s="2">
        <v>0.25</v>
      </c>
      <c r="H9" t="s">
        <v>12</v>
      </c>
      <c r="O9" t="s">
        <v>12</v>
      </c>
      <c r="V9" t="s">
        <v>12</v>
      </c>
    </row>
    <row r="10" spans="1:28" x14ac:dyDescent="0.25">
      <c r="A10" s="2" t="str">
        <f>HYPERLINK("./new_k5/query_cmdrels_weight_analyze/0.4_0.3_0.3/au_110477.xlsx","au_110477")</f>
        <v>au_110477</v>
      </c>
      <c r="B10" s="2">
        <v>0</v>
      </c>
      <c r="C10" s="2">
        <v>0.25</v>
      </c>
      <c r="D10" s="2">
        <v>8.3333333333333301E-2</v>
      </c>
      <c r="E10" s="2">
        <v>0.75</v>
      </c>
      <c r="F10" s="2">
        <v>0.20833333333333301</v>
      </c>
      <c r="G10" s="2">
        <v>0.75</v>
      </c>
      <c r="H10" s="5" t="s">
        <v>13</v>
      </c>
      <c r="I10" s="5" t="s">
        <v>14</v>
      </c>
      <c r="J10" s="5" t="s">
        <v>15</v>
      </c>
      <c r="K10" s="5" t="s">
        <v>16</v>
      </c>
      <c r="L10" s="5" t="s">
        <v>17</v>
      </c>
      <c r="M10" s="5" t="s">
        <v>18</v>
      </c>
      <c r="N10" s="5" t="s">
        <v>19</v>
      </c>
      <c r="O10" s="5" t="s">
        <v>13</v>
      </c>
      <c r="P10" s="5" t="s">
        <v>14</v>
      </c>
      <c r="Q10" s="5" t="s">
        <v>15</v>
      </c>
      <c r="R10" s="5" t="s">
        <v>16</v>
      </c>
      <c r="S10" s="5" t="s">
        <v>17</v>
      </c>
      <c r="T10" s="5" t="s">
        <v>18</v>
      </c>
      <c r="U10" s="5" t="s">
        <v>19</v>
      </c>
      <c r="V10" s="5" t="s">
        <v>13</v>
      </c>
      <c r="W10" s="5" t="s">
        <v>14</v>
      </c>
      <c r="X10" s="5" t="s">
        <v>15</v>
      </c>
      <c r="Y10" s="5" t="s">
        <v>16</v>
      </c>
      <c r="Z10" s="5" t="s">
        <v>17</v>
      </c>
      <c r="AA10" s="5" t="s">
        <v>18</v>
      </c>
      <c r="AB10" s="5" t="s">
        <v>19</v>
      </c>
    </row>
    <row r="11" spans="1:28" x14ac:dyDescent="0.25">
      <c r="A11" s="2" t="str">
        <f>HYPERLINK("./new_k5/query_cmdrels_weight_analyze/0.4_0.3_0.3/au_111678.xlsx","au_111678")</f>
        <v>au_111678</v>
      </c>
      <c r="B11" s="2">
        <v>0</v>
      </c>
      <c r="C11" s="2">
        <v>0.33333333333333331</v>
      </c>
      <c r="D11" s="2">
        <v>0</v>
      </c>
      <c r="E11" s="2">
        <v>0.33333333333333331</v>
      </c>
      <c r="F11" s="2">
        <v>0</v>
      </c>
      <c r="G11" s="2">
        <v>0.33333333333333331</v>
      </c>
      <c r="H11" t="s">
        <v>23</v>
      </c>
      <c r="I11">
        <v>2.138019140528101</v>
      </c>
      <c r="J11">
        <v>1</v>
      </c>
      <c r="K11">
        <v>2.138019140528101</v>
      </c>
      <c r="L11">
        <v>41.639761043084377</v>
      </c>
      <c r="M11" s="7">
        <v>1.8243475299327712E-10</v>
      </c>
      <c r="N11">
        <v>3.8522191417547393</v>
      </c>
      <c r="O11" t="s">
        <v>23</v>
      </c>
      <c r="P11">
        <v>9.2118978890317393</v>
      </c>
      <c r="Q11">
        <v>1</v>
      </c>
      <c r="R11">
        <v>9.2118978890317393</v>
      </c>
      <c r="S11">
        <v>140.1941817736824</v>
      </c>
      <c r="T11" s="7">
        <v>4.3855198849361481E-30</v>
      </c>
      <c r="U11">
        <v>3.8522191417547393</v>
      </c>
      <c r="V11" t="s">
        <v>23</v>
      </c>
      <c r="W11">
        <v>13.02256638160614</v>
      </c>
      <c r="X11">
        <v>1</v>
      </c>
      <c r="Y11">
        <v>13.02256638160614</v>
      </c>
      <c r="Z11">
        <v>191.05904898456654</v>
      </c>
      <c r="AA11" s="7">
        <v>2.0537860800479987E-39</v>
      </c>
      <c r="AB11">
        <v>3.8522191417547393</v>
      </c>
    </row>
    <row r="12" spans="1:28" x14ac:dyDescent="0.25">
      <c r="A12" s="2" t="str">
        <f>HYPERLINK("./new_k5/query_cmdrels_weight_analyze/0.4_0.3_0.3/au_112512.xlsx","au_112512")</f>
        <v>au_112512</v>
      </c>
      <c r="B12" s="2">
        <v>0</v>
      </c>
      <c r="C12" s="2">
        <v>0.25</v>
      </c>
      <c r="D12" s="2">
        <v>0</v>
      </c>
      <c r="E12" s="2">
        <v>0.5</v>
      </c>
      <c r="F12" s="2">
        <v>0</v>
      </c>
      <c r="G12" s="2">
        <v>0.5</v>
      </c>
      <c r="H12" t="s">
        <v>24</v>
      </c>
      <c r="I12">
        <v>44.465302617408767</v>
      </c>
      <c r="J12">
        <v>866</v>
      </c>
      <c r="K12">
        <v>5.1345615031649847E-2</v>
      </c>
      <c r="O12" t="s">
        <v>24</v>
      </c>
      <c r="P12">
        <v>56.903242851972927</v>
      </c>
      <c r="Q12">
        <v>866</v>
      </c>
      <c r="R12">
        <v>6.5708132623525317E-2</v>
      </c>
      <c r="V12" t="s">
        <v>24</v>
      </c>
      <c r="W12">
        <v>59.026476612379142</v>
      </c>
      <c r="X12">
        <v>866</v>
      </c>
      <c r="Y12">
        <v>6.8159903709444733E-2</v>
      </c>
    </row>
    <row r="13" spans="1:28" x14ac:dyDescent="0.25">
      <c r="A13" s="2" t="str">
        <f>HYPERLINK("./new_k5/query_cmdrels_weight_analyze/0.4_0.3_0.3/au_115369.xlsx","au_115369")</f>
        <v>au_115369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28" ht="14.5" thickBot="1" x14ac:dyDescent="0.3">
      <c r="A14" s="2" t="str">
        <f>HYPERLINK("./new_k5/query_cmdrels_weight_analyze/0.4_0.3_0.3/au_11789.xlsx","au_11789")</f>
        <v>au_11789</v>
      </c>
      <c r="B14" s="2">
        <v>0</v>
      </c>
      <c r="C14" s="2">
        <v>0.5</v>
      </c>
      <c r="D14" s="2">
        <v>0.16666666666666599</v>
      </c>
      <c r="E14" s="2">
        <v>0.5</v>
      </c>
      <c r="F14" s="2">
        <v>0.16666666666666599</v>
      </c>
      <c r="G14" s="2">
        <v>0.5</v>
      </c>
      <c r="H14" s="4" t="s">
        <v>20</v>
      </c>
      <c r="I14" s="4">
        <v>46.603321757936868</v>
      </c>
      <c r="J14" s="4">
        <v>867</v>
      </c>
      <c r="K14" s="4"/>
      <c r="L14" s="4"/>
      <c r="M14" s="4"/>
      <c r="N14" s="4"/>
      <c r="O14" s="4" t="s">
        <v>20</v>
      </c>
      <c r="P14" s="4">
        <v>66.115140741004666</v>
      </c>
      <c r="Q14" s="4">
        <v>867</v>
      </c>
      <c r="R14" s="4"/>
      <c r="S14" s="4"/>
      <c r="T14" s="4"/>
      <c r="U14" s="4"/>
      <c r="V14" s="4" t="s">
        <v>20</v>
      </c>
      <c r="W14" s="4">
        <v>72.049042993985282</v>
      </c>
      <c r="X14" s="4">
        <v>867</v>
      </c>
      <c r="Y14" s="4"/>
      <c r="Z14" s="4"/>
      <c r="AA14" s="4"/>
      <c r="AB14" s="4"/>
    </row>
    <row r="15" spans="1:28" x14ac:dyDescent="0.25">
      <c r="A15" s="2" t="str">
        <f>HYPERLINK("./new_k5/query_cmdrels_weight_analyze/0.4_0.3_0.3/au_117950.xlsx","au_117950")</f>
        <v>au_117950</v>
      </c>
      <c r="B15" s="2">
        <v>0</v>
      </c>
      <c r="C15" s="2">
        <v>0</v>
      </c>
      <c r="D15" s="2">
        <v>0</v>
      </c>
      <c r="E15" s="2">
        <v>0</v>
      </c>
      <c r="F15" s="2">
        <v>0.1</v>
      </c>
      <c r="G15" s="2">
        <v>0.125</v>
      </c>
    </row>
    <row r="16" spans="1:28" x14ac:dyDescent="0.25">
      <c r="A16" s="2" t="str">
        <f>HYPERLINK("./new_k5/query_cmdrels_weight_analyze/0.4_0.3_0.3/au_122113.xlsx","au_122113")</f>
        <v>au_122113</v>
      </c>
      <c r="B16" s="2">
        <v>0</v>
      </c>
      <c r="C16" s="2">
        <v>0</v>
      </c>
      <c r="D16" s="2">
        <v>8.3333333333333301E-2</v>
      </c>
      <c r="E16" s="2">
        <v>0.29166666666666657</v>
      </c>
      <c r="F16" s="2">
        <v>0.18333333333333299</v>
      </c>
      <c r="G16" s="2">
        <v>0.29166666666666657</v>
      </c>
    </row>
    <row r="17" spans="1:7" x14ac:dyDescent="0.25">
      <c r="A17" s="2" t="str">
        <f>HYPERLINK("./new_k5/query_cmdrels_weight_analyze/0.4_0.3_0.3/au_123798.xlsx","au_123798")</f>
        <v>au_123798</v>
      </c>
      <c r="B17" s="2">
        <v>0</v>
      </c>
      <c r="C17" s="2">
        <v>0</v>
      </c>
      <c r="D17" s="2">
        <v>0</v>
      </c>
      <c r="E17" s="2">
        <v>8.3333333333333329E-2</v>
      </c>
      <c r="F17" s="2">
        <v>0</v>
      </c>
      <c r="G17" s="2">
        <v>0.26666666666666672</v>
      </c>
    </row>
    <row r="18" spans="1:7" x14ac:dyDescent="0.25">
      <c r="A18" s="2" t="str">
        <f>HYPERLINK("./new_k5/query_cmdrels_weight_analyze/0.4_0.3_0.3/au_125257.xlsx","au_125257")</f>
        <v>au_125257</v>
      </c>
      <c r="B18" s="2">
        <v>0</v>
      </c>
      <c r="C18" s="2">
        <v>0.25</v>
      </c>
      <c r="D18" s="2">
        <v>0</v>
      </c>
      <c r="E18" s="2">
        <v>0.5</v>
      </c>
      <c r="F18" s="2">
        <v>0.05</v>
      </c>
      <c r="G18" s="2">
        <v>0.5</v>
      </c>
    </row>
    <row r="19" spans="1:7" x14ac:dyDescent="0.25">
      <c r="A19" s="2" t="str">
        <f>HYPERLINK("./new_k5/query_cmdrels_weight_analyze/0.4_0.3_0.3/au_126153.xlsx","au_126153")</f>
        <v>au_126153</v>
      </c>
      <c r="B19" s="2">
        <v>0</v>
      </c>
      <c r="C19" s="2">
        <v>0.16666666666666671</v>
      </c>
      <c r="D19" s="2">
        <v>0</v>
      </c>
      <c r="E19" s="2">
        <v>0.27777777777777768</v>
      </c>
      <c r="F19" s="2">
        <v>0.108333333333333</v>
      </c>
      <c r="G19" s="2">
        <v>0.37777777777777782</v>
      </c>
    </row>
    <row r="20" spans="1:7" x14ac:dyDescent="0.25">
      <c r="A20" s="2" t="str">
        <f>HYPERLINK("./new_k5/query_cmdrels_weight_analyze/0.4_0.3_0.3/au_127326.xlsx","au_127326")</f>
        <v>au_127326</v>
      </c>
      <c r="B20" s="2">
        <v>0</v>
      </c>
      <c r="C20" s="2">
        <v>0.5</v>
      </c>
      <c r="D20" s="2">
        <v>0</v>
      </c>
      <c r="E20" s="2">
        <v>0.5</v>
      </c>
      <c r="F20" s="2">
        <v>0</v>
      </c>
      <c r="G20" s="2">
        <v>0.5</v>
      </c>
    </row>
    <row r="21" spans="1:7" x14ac:dyDescent="0.25">
      <c r="A21" s="2" t="str">
        <f>HYPERLINK("./new_k5/query_cmdrels_weight_analyze/0.4_0.3_0.3/au_128463.xlsx","au_128463")</f>
        <v>au_128463</v>
      </c>
      <c r="B21" s="2">
        <v>0</v>
      </c>
      <c r="C21" s="2">
        <v>0.33333333333333331</v>
      </c>
      <c r="D21" s="2">
        <v>0</v>
      </c>
      <c r="E21" s="2">
        <v>0.66666666666666663</v>
      </c>
      <c r="F21" s="2">
        <v>0</v>
      </c>
      <c r="G21" s="2">
        <v>0.66666666666666663</v>
      </c>
    </row>
    <row r="22" spans="1:7" x14ac:dyDescent="0.25">
      <c r="A22" s="2" t="str">
        <f>HYPERLINK("./new_k5/query_cmdrels_weight_analyze/0.4_0.3_0.3/au_130393.xlsx","au_130393")</f>
        <v>au_130393</v>
      </c>
      <c r="B22" s="2">
        <v>0</v>
      </c>
      <c r="C22" s="2">
        <v>0</v>
      </c>
      <c r="D22" s="2">
        <v>8.3333333333333301E-2</v>
      </c>
      <c r="E22" s="2">
        <v>0.125</v>
      </c>
      <c r="F22" s="2">
        <v>8.3333333333333301E-2</v>
      </c>
      <c r="G22" s="2">
        <v>0.25</v>
      </c>
    </row>
    <row r="23" spans="1:7" x14ac:dyDescent="0.25">
      <c r="A23" s="2" t="str">
        <f>HYPERLINK("./new_k5/query_cmdrels_weight_analyze/0.4_0.3_0.3/au_131570.xlsx","au_131570")</f>
        <v>au_131570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</row>
    <row r="24" spans="1:7" x14ac:dyDescent="0.25">
      <c r="A24" s="2" t="str">
        <f>HYPERLINK("./new_k5/query_cmdrels_weight_analyze/0.4_0.3_0.3/au_133318.xlsx","au_133318")</f>
        <v>au_133318</v>
      </c>
      <c r="B24" s="2">
        <v>0</v>
      </c>
      <c r="C24" s="2">
        <v>0.25</v>
      </c>
      <c r="D24" s="2">
        <v>0</v>
      </c>
      <c r="E24" s="2">
        <v>0.41666666666666657</v>
      </c>
      <c r="F24" s="2">
        <v>6.25E-2</v>
      </c>
      <c r="G24" s="2">
        <v>0.41666666666666657</v>
      </c>
    </row>
    <row r="25" spans="1:7" x14ac:dyDescent="0.25">
      <c r="A25" s="2" t="str">
        <f>HYPERLINK("./new_k5/query_cmdrels_weight_analyze/0.4_0.3_0.3/au_133343.xlsx","au_133343")</f>
        <v>au_133343</v>
      </c>
      <c r="B25" s="2">
        <v>0</v>
      </c>
      <c r="C25" s="2">
        <v>0</v>
      </c>
      <c r="D25" s="2">
        <v>0</v>
      </c>
      <c r="E25" s="2">
        <v>0.1111111111111111</v>
      </c>
      <c r="F25" s="2">
        <v>0</v>
      </c>
      <c r="G25" s="2">
        <v>0.27777777777777768</v>
      </c>
    </row>
    <row r="26" spans="1:7" x14ac:dyDescent="0.25">
      <c r="A26" s="2" t="str">
        <f>HYPERLINK("./new_k5/query_cmdrels_weight_analyze/0.4_0.3_0.3/au_133389.xlsx","au_133389")</f>
        <v>au_133389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</row>
    <row r="27" spans="1:7" x14ac:dyDescent="0.25">
      <c r="A27" s="2" t="str">
        <f>HYPERLINK("./new_k5/query_cmdrels_weight_analyze/0.4_0.3_0.3/au_141277.xlsx","au_141277")</f>
        <v>au_141277</v>
      </c>
      <c r="B27" s="2">
        <v>0</v>
      </c>
      <c r="C27" s="2">
        <v>0.16666666666666671</v>
      </c>
      <c r="D27" s="2">
        <v>0</v>
      </c>
      <c r="E27" s="2">
        <v>0.16666666666666671</v>
      </c>
      <c r="F27" s="2">
        <v>3.3333333333333298E-2</v>
      </c>
      <c r="G27" s="2">
        <v>0.16666666666666671</v>
      </c>
    </row>
    <row r="28" spans="1:7" x14ac:dyDescent="0.25">
      <c r="A28" s="2" t="str">
        <f>HYPERLINK("./new_k5/query_cmdrels_weight_analyze/0.4_0.3_0.3/au_143819.xlsx","au_143819")</f>
        <v>au_143819</v>
      </c>
      <c r="B28" s="2">
        <v>0</v>
      </c>
      <c r="C28" s="2">
        <v>0.14285714285714279</v>
      </c>
      <c r="D28" s="2">
        <v>4.7619047619047603E-2</v>
      </c>
      <c r="E28" s="2">
        <v>0.23809523809523811</v>
      </c>
      <c r="F28" s="2">
        <v>4.7619047619047603E-2</v>
      </c>
      <c r="G28" s="2">
        <v>0.23809523809523811</v>
      </c>
    </row>
    <row r="29" spans="1:7" x14ac:dyDescent="0.25">
      <c r="A29" s="2" t="str">
        <f>HYPERLINK("./new_k5/query_cmdrels_weight_analyze/0.4_0.3_0.3/au_145935.xlsx","au_145935")</f>
        <v>au_145935</v>
      </c>
      <c r="B29" s="2">
        <v>0</v>
      </c>
      <c r="C29" s="2">
        <v>0.33333333333333331</v>
      </c>
      <c r="D29" s="2">
        <v>0</v>
      </c>
      <c r="E29" s="2">
        <v>0.55555555555555547</v>
      </c>
      <c r="F29" s="2">
        <v>0</v>
      </c>
      <c r="G29" s="2">
        <v>0.55555555555555547</v>
      </c>
    </row>
    <row r="30" spans="1:7" x14ac:dyDescent="0.25">
      <c r="A30" s="2" t="str">
        <f>HYPERLINK("./new_k5/query_cmdrels_weight_analyze/0.4_0.3_0.3/au_147241.xlsx","au_147241")</f>
        <v>au_147241</v>
      </c>
      <c r="B30" s="2">
        <v>0.25</v>
      </c>
      <c r="C30" s="2">
        <v>0</v>
      </c>
      <c r="D30" s="2">
        <v>0.25</v>
      </c>
      <c r="E30" s="2">
        <v>0.29166666666666657</v>
      </c>
      <c r="F30" s="2">
        <v>0.25</v>
      </c>
      <c r="G30" s="2">
        <v>0.47916666666666657</v>
      </c>
    </row>
    <row r="31" spans="1:7" x14ac:dyDescent="0.25">
      <c r="A31" s="2" t="str">
        <f>HYPERLINK("./new_k5/query_cmdrels_weight_analyze/0.4_0.3_0.3/au_147800.xlsx","au_147800")</f>
        <v>au_147800</v>
      </c>
      <c r="B31" s="2">
        <v>0</v>
      </c>
      <c r="C31" s="2">
        <v>0</v>
      </c>
      <c r="D31" s="2">
        <v>0.11111111111111099</v>
      </c>
      <c r="E31" s="2">
        <v>0.1111111111111111</v>
      </c>
      <c r="F31" s="2">
        <v>0.11111111111111099</v>
      </c>
      <c r="G31" s="2">
        <v>0.1111111111111111</v>
      </c>
    </row>
    <row r="32" spans="1:7" x14ac:dyDescent="0.25">
      <c r="A32" s="2" t="str">
        <f>HYPERLINK("./new_k5/query_cmdrels_weight_analyze/0.4_0.3_0.3/au_148321.xlsx","au_148321")</f>
        <v>au_148321</v>
      </c>
      <c r="B32" s="2">
        <v>0</v>
      </c>
      <c r="C32" s="2">
        <v>0.16666666666666671</v>
      </c>
      <c r="D32" s="2">
        <v>0.194444444444444</v>
      </c>
      <c r="E32" s="2">
        <v>0.27777777777777768</v>
      </c>
      <c r="F32" s="2">
        <v>0.194444444444444</v>
      </c>
      <c r="G32" s="2">
        <v>0.40277777777777768</v>
      </c>
    </row>
    <row r="33" spans="1:7" x14ac:dyDescent="0.25">
      <c r="A33" s="2" t="str">
        <f>HYPERLINK("./new_k5/query_cmdrels_weight_analyze/0.4_0.3_0.3/au_148638.xlsx","au_148638")</f>
        <v>au_148638</v>
      </c>
      <c r="B33" s="2">
        <v>0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</row>
    <row r="34" spans="1:7" x14ac:dyDescent="0.25">
      <c r="A34" s="2" t="str">
        <f>HYPERLINK("./new_k5/query_cmdrels_weight_analyze/0.4_0.3_0.3/au_151049.xlsx","au_151049")</f>
        <v>au_151049</v>
      </c>
      <c r="B34" s="2">
        <v>0</v>
      </c>
      <c r="C34" s="2">
        <v>0.33333333333333331</v>
      </c>
      <c r="D34" s="2">
        <v>0.16666666666666599</v>
      </c>
      <c r="E34" s="2">
        <v>0.66666666666666663</v>
      </c>
      <c r="F34" s="2">
        <v>0.16666666666666599</v>
      </c>
      <c r="G34" s="2">
        <v>0.66666666666666663</v>
      </c>
    </row>
    <row r="35" spans="1:7" x14ac:dyDescent="0.25">
      <c r="A35" s="2" t="str">
        <f>HYPERLINK("./new_k5/query_cmdrels_weight_analyze/0.4_0.3_0.3/au_151941.xlsx","au_151941")</f>
        <v>au_151941</v>
      </c>
      <c r="B35" s="2">
        <v>0</v>
      </c>
      <c r="C35" s="2">
        <v>0.125</v>
      </c>
      <c r="D35" s="2">
        <v>6.25E-2</v>
      </c>
      <c r="E35" s="2">
        <v>0.375</v>
      </c>
      <c r="F35" s="2">
        <v>0.1125</v>
      </c>
      <c r="G35" s="2">
        <v>0.625</v>
      </c>
    </row>
    <row r="36" spans="1:7" x14ac:dyDescent="0.25">
      <c r="A36" s="2" t="str">
        <f>HYPERLINK("./new_k5/query_cmdrels_weight_analyze/0.4_0.3_0.3/au_152297.xlsx","au_152297")</f>
        <v>au_152297</v>
      </c>
      <c r="B36" s="2">
        <v>0</v>
      </c>
      <c r="C36" s="2">
        <v>0</v>
      </c>
      <c r="D36" s="2">
        <v>4.7619047619047603E-2</v>
      </c>
      <c r="E36" s="2">
        <v>0.16666666666666671</v>
      </c>
      <c r="F36" s="2">
        <v>0.119047619047619</v>
      </c>
      <c r="G36" s="2">
        <v>0.25238095238095237</v>
      </c>
    </row>
    <row r="37" spans="1:7" x14ac:dyDescent="0.25">
      <c r="A37" s="2" t="str">
        <f>HYPERLINK("./new_k5/query_cmdrels_weight_analyze/0.4_0.3_0.3/au_153976.xlsx","au_153976")</f>
        <v>au_153976</v>
      </c>
      <c r="B37" s="2">
        <v>0.16666666666666599</v>
      </c>
      <c r="C37" s="2">
        <v>0.16666666666666671</v>
      </c>
      <c r="D37" s="2">
        <v>0.33333333333333298</v>
      </c>
      <c r="E37" s="2">
        <v>0.27777777777777768</v>
      </c>
      <c r="F37" s="2">
        <v>0.33333333333333298</v>
      </c>
      <c r="G37" s="2">
        <v>0.37777777777777782</v>
      </c>
    </row>
    <row r="38" spans="1:7" x14ac:dyDescent="0.25">
      <c r="A38" s="2" t="str">
        <f>HYPERLINK("./new_k5/query_cmdrels_weight_analyze/0.4_0.3_0.3/au_154431.xlsx","au_154431")</f>
        <v>au_154431</v>
      </c>
      <c r="B38" s="2">
        <v>0.33333333333333298</v>
      </c>
      <c r="C38" s="2">
        <v>0.33333333333333331</v>
      </c>
      <c r="D38" s="2">
        <v>0.33333333333333298</v>
      </c>
      <c r="E38" s="2">
        <v>0.66666666666666663</v>
      </c>
      <c r="F38" s="2">
        <v>0.33333333333333298</v>
      </c>
      <c r="G38" s="2">
        <v>0.66666666666666663</v>
      </c>
    </row>
    <row r="39" spans="1:7" x14ac:dyDescent="0.25">
      <c r="A39" s="2" t="str">
        <f>HYPERLINK("./new_k5/query_cmdrels_weight_analyze/0.4_0.3_0.3/au_159708.xlsx","au_159708")</f>
        <v>au_159708</v>
      </c>
      <c r="B39" s="2">
        <v>0.33333333333333298</v>
      </c>
      <c r="C39" s="2">
        <v>0.33333333333333331</v>
      </c>
      <c r="D39" s="2">
        <v>0.33333333333333298</v>
      </c>
      <c r="E39" s="2">
        <v>0.33333333333333331</v>
      </c>
      <c r="F39" s="2">
        <v>0.33333333333333298</v>
      </c>
      <c r="G39" s="2">
        <v>0.33333333333333331</v>
      </c>
    </row>
    <row r="40" spans="1:7" x14ac:dyDescent="0.25">
      <c r="A40" s="2" t="str">
        <f>HYPERLINK("./new_k5/query_cmdrels_weight_analyze/0.4_0.3_0.3/au_160869.xlsx","au_160869")</f>
        <v>au_160869</v>
      </c>
      <c r="B40" s="2">
        <v>0.25</v>
      </c>
      <c r="C40" s="2">
        <v>0.25</v>
      </c>
      <c r="D40" s="2">
        <v>0.25</v>
      </c>
      <c r="E40" s="2">
        <v>0.25</v>
      </c>
      <c r="F40" s="2">
        <v>0.25</v>
      </c>
      <c r="G40" s="2">
        <v>0.25</v>
      </c>
    </row>
    <row r="41" spans="1:7" x14ac:dyDescent="0.25">
      <c r="A41" s="2" t="str">
        <f>HYPERLINK("./new_k5/query_cmdrels_weight_analyze/0.4_0.3_0.3/au_161313.xlsx","au_161313")</f>
        <v>au_161313</v>
      </c>
      <c r="B41" s="2">
        <v>0.5</v>
      </c>
      <c r="C41" s="2">
        <v>0</v>
      </c>
      <c r="D41" s="2">
        <v>0.5</v>
      </c>
      <c r="E41" s="2">
        <v>0</v>
      </c>
      <c r="F41" s="2">
        <v>0.5</v>
      </c>
      <c r="G41" s="2">
        <v>0.125</v>
      </c>
    </row>
    <row r="42" spans="1:7" x14ac:dyDescent="0.25">
      <c r="A42" s="2" t="str">
        <f>HYPERLINK("./new_k5/query_cmdrels_weight_analyze/0.4_0.3_0.3/au_162075.xlsx","au_162075")</f>
        <v>au_162075</v>
      </c>
      <c r="B42" s="2">
        <v>0</v>
      </c>
      <c r="C42" s="2">
        <v>0.25</v>
      </c>
      <c r="D42" s="2">
        <v>0</v>
      </c>
      <c r="E42" s="2">
        <v>0.5</v>
      </c>
      <c r="F42" s="2">
        <v>0</v>
      </c>
      <c r="G42" s="2">
        <v>0.5</v>
      </c>
    </row>
    <row r="43" spans="1:7" x14ac:dyDescent="0.25">
      <c r="A43" s="2" t="str">
        <f>HYPERLINK("./new_k5/query_cmdrels_weight_analyze/0.4_0.3_0.3/au_16277.xlsx","au_16277")</f>
        <v>au_16277</v>
      </c>
      <c r="B43" s="2">
        <v>0</v>
      </c>
      <c r="C43" s="2">
        <v>0.16666666666666671</v>
      </c>
      <c r="D43" s="2">
        <v>8.3333333333333301E-2</v>
      </c>
      <c r="E43" s="2">
        <v>0.5</v>
      </c>
      <c r="F43" s="2">
        <v>8.3333333333333301E-2</v>
      </c>
      <c r="G43" s="2">
        <v>0.83333333333333337</v>
      </c>
    </row>
    <row r="44" spans="1:7" x14ac:dyDescent="0.25">
      <c r="A44" s="2" t="str">
        <f>HYPERLINK("./new_k5/query_cmdrels_weight_analyze/0.4_0.3_0.3/au_163155.xlsx","au_163155")</f>
        <v>au_163155</v>
      </c>
      <c r="B44" s="2">
        <v>0</v>
      </c>
      <c r="C44" s="2">
        <v>0.125</v>
      </c>
      <c r="D44" s="2">
        <v>6.25E-2</v>
      </c>
      <c r="E44" s="2">
        <v>0.375</v>
      </c>
      <c r="F44" s="2">
        <v>6.25E-2</v>
      </c>
      <c r="G44" s="2">
        <v>0.5</v>
      </c>
    </row>
    <row r="45" spans="1:7" x14ac:dyDescent="0.25">
      <c r="A45" s="2" t="str">
        <f>HYPERLINK("./new_k5/query_cmdrels_weight_analyze/0.4_0.3_0.3/au_164473.xlsx","au_164473")</f>
        <v>au_164473</v>
      </c>
      <c r="B45" s="2">
        <v>0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</row>
    <row r="46" spans="1:7" x14ac:dyDescent="0.25">
      <c r="A46" s="2" t="str">
        <f>HYPERLINK("./new_k5/query_cmdrels_weight_analyze/0.4_0.3_0.3/au_16584.xlsx","au_16584")</f>
        <v>au_16584</v>
      </c>
      <c r="B46" s="2">
        <v>0</v>
      </c>
      <c r="C46" s="2">
        <v>9.0909090909090912E-2</v>
      </c>
      <c r="D46" s="2">
        <v>4.54545454545454E-2</v>
      </c>
      <c r="E46" s="2">
        <v>0.15151515151515149</v>
      </c>
      <c r="F46" s="2">
        <v>9.0909090909090898E-2</v>
      </c>
      <c r="G46" s="2">
        <v>0.2196969696969697</v>
      </c>
    </row>
    <row r="47" spans="1:7" x14ac:dyDescent="0.25">
      <c r="A47" s="2" t="str">
        <f>HYPERLINK("./new_k5/query_cmdrels_weight_analyze/0.4_0.3_0.3/au_166420.xlsx","au_166420")</f>
        <v>au_166420</v>
      </c>
      <c r="B47" s="2">
        <v>0</v>
      </c>
      <c r="C47" s="2">
        <v>0.2</v>
      </c>
      <c r="D47" s="2">
        <v>0</v>
      </c>
      <c r="E47" s="2">
        <v>0.4</v>
      </c>
      <c r="F47" s="2">
        <v>0.04</v>
      </c>
      <c r="G47" s="2">
        <v>0.4</v>
      </c>
    </row>
    <row r="48" spans="1:7" x14ac:dyDescent="0.25">
      <c r="A48" s="2" t="str">
        <f>HYPERLINK("./new_k5/query_cmdrels_weight_analyze/0.4_0.3_0.3/au_169473.xlsx","au_169473")</f>
        <v>au_169473</v>
      </c>
      <c r="B48" s="2">
        <v>0</v>
      </c>
      <c r="C48" s="2">
        <v>0.16666666666666671</v>
      </c>
      <c r="D48" s="2">
        <v>0</v>
      </c>
      <c r="E48" s="2">
        <v>0.16666666666666671</v>
      </c>
      <c r="F48" s="2">
        <v>3.3333333333333298E-2</v>
      </c>
      <c r="G48" s="2">
        <v>0.35</v>
      </c>
    </row>
    <row r="49" spans="1:7" x14ac:dyDescent="0.25">
      <c r="A49" s="2" t="str">
        <f>HYPERLINK("./new_k5/query_cmdrels_weight_analyze/0.4_0.3_0.3/au_169516.xlsx","au_169516")</f>
        <v>au_169516</v>
      </c>
      <c r="B49" s="2">
        <v>0</v>
      </c>
      <c r="C49" s="2">
        <v>0.25</v>
      </c>
      <c r="D49" s="2">
        <v>0</v>
      </c>
      <c r="E49" s="2">
        <v>0.5</v>
      </c>
      <c r="F49" s="2">
        <v>6.25E-2</v>
      </c>
      <c r="G49" s="2">
        <v>0.5</v>
      </c>
    </row>
    <row r="50" spans="1:7" x14ac:dyDescent="0.25">
      <c r="A50" s="2" t="str">
        <f>HYPERLINK("./new_k5/query_cmdrels_weight_analyze/0.4_0.3_0.3/au_174292.xlsx","au_174292")</f>
        <v>au_174292</v>
      </c>
      <c r="B50" s="2">
        <v>0</v>
      </c>
      <c r="C50" s="2">
        <v>0.25</v>
      </c>
      <c r="D50" s="2">
        <v>0</v>
      </c>
      <c r="E50" s="2">
        <v>0.25</v>
      </c>
      <c r="F50" s="2">
        <v>0</v>
      </c>
      <c r="G50" s="2">
        <v>0.35</v>
      </c>
    </row>
    <row r="51" spans="1:7" x14ac:dyDescent="0.25">
      <c r="A51" s="2" t="str">
        <f>HYPERLINK("./new_k5/query_cmdrels_weight_analyze/0.4_0.3_0.3/au_178481.xlsx","au_178481")</f>
        <v>au_178481</v>
      </c>
      <c r="B51" s="2">
        <v>0.33333333333333298</v>
      </c>
      <c r="C51" s="2">
        <v>0.33333333333333331</v>
      </c>
      <c r="D51" s="2">
        <v>0.66666666666666596</v>
      </c>
      <c r="E51" s="2">
        <v>0.66666666666666663</v>
      </c>
      <c r="F51" s="2">
        <v>0.66666666666666596</v>
      </c>
      <c r="G51" s="2">
        <v>0.66666666666666663</v>
      </c>
    </row>
    <row r="52" spans="1:7" x14ac:dyDescent="0.25">
      <c r="A52" s="2" t="str">
        <f>HYPERLINK("./new_k5/query_cmdrels_weight_analyze/0.4_0.3_0.3/au_180925.xlsx","au_180925")</f>
        <v>au_180925</v>
      </c>
      <c r="B52" s="2">
        <v>0</v>
      </c>
      <c r="C52" s="2">
        <v>0.5</v>
      </c>
      <c r="D52" s="2">
        <v>0</v>
      </c>
      <c r="E52" s="2">
        <v>0.5</v>
      </c>
      <c r="F52" s="2">
        <v>0</v>
      </c>
      <c r="G52" s="2">
        <v>0.5</v>
      </c>
    </row>
    <row r="53" spans="1:7" x14ac:dyDescent="0.25">
      <c r="A53" s="2" t="str">
        <f>HYPERLINK("./new_k5/query_cmdrels_weight_analyze/0.4_0.3_0.3/au_187888.xlsx","au_187888")</f>
        <v>au_187888</v>
      </c>
      <c r="B53" s="2">
        <v>0</v>
      </c>
      <c r="C53" s="2">
        <v>0.14285714285714279</v>
      </c>
      <c r="D53" s="2">
        <v>7.1428571428571397E-2</v>
      </c>
      <c r="E53" s="2">
        <v>0.2857142857142857</v>
      </c>
      <c r="F53" s="2">
        <v>7.1428571428571397E-2</v>
      </c>
      <c r="G53" s="2">
        <v>0.39285714285714279</v>
      </c>
    </row>
    <row r="54" spans="1:7" x14ac:dyDescent="0.25">
      <c r="A54" s="2" t="str">
        <f>HYPERLINK("./new_k5/query_cmdrels_weight_analyze/0.4_0.3_0.3/au_191390.xlsx","au_191390")</f>
        <v>au_191390</v>
      </c>
      <c r="B54" s="2">
        <v>0</v>
      </c>
      <c r="C54" s="2">
        <v>0.25</v>
      </c>
      <c r="D54" s="2">
        <v>0.125</v>
      </c>
      <c r="E54" s="2">
        <v>0.25</v>
      </c>
      <c r="F54" s="2">
        <v>0.125</v>
      </c>
      <c r="G54" s="2">
        <v>0.25</v>
      </c>
    </row>
    <row r="55" spans="1:7" x14ac:dyDescent="0.25">
      <c r="A55" s="2" t="str">
        <f>HYPERLINK("./new_k5/query_cmdrels_weight_analyze/0.4_0.3_0.3/au_192798.xlsx","au_192798")</f>
        <v>au_192798</v>
      </c>
      <c r="B55" s="2">
        <v>1</v>
      </c>
      <c r="C55" s="2">
        <v>1</v>
      </c>
      <c r="D55" s="2">
        <v>1</v>
      </c>
      <c r="E55" s="2">
        <v>1</v>
      </c>
      <c r="F55" s="2">
        <v>1</v>
      </c>
      <c r="G55" s="2">
        <v>1</v>
      </c>
    </row>
    <row r="56" spans="1:7" x14ac:dyDescent="0.25">
      <c r="A56" s="2" t="str">
        <f>HYPERLINK("./new_k5/query_cmdrels_weight_analyze/0.4_0.3_0.3/au_201775.xlsx","au_201775")</f>
        <v>au_201775</v>
      </c>
      <c r="B56" s="2">
        <v>0.33333333333333298</v>
      </c>
      <c r="C56" s="2">
        <v>0.33333333333333331</v>
      </c>
      <c r="D56" s="2">
        <v>0.33333333333333298</v>
      </c>
      <c r="E56" s="2">
        <v>0.55555555555555547</v>
      </c>
      <c r="F56" s="2">
        <v>0.33333333333333298</v>
      </c>
      <c r="G56" s="2">
        <v>0.75555555555555554</v>
      </c>
    </row>
    <row r="57" spans="1:7" x14ac:dyDescent="0.25">
      <c r="A57" s="2" t="str">
        <f>HYPERLINK("./new_k5/query_cmdrels_weight_analyze/0.4_0.3_0.3/au_204166.xlsx","au_204166")</f>
        <v>au_204166</v>
      </c>
      <c r="B57" s="2">
        <v>0</v>
      </c>
      <c r="C57" s="2">
        <v>0.2</v>
      </c>
      <c r="D57" s="2">
        <v>6.6666666666666596E-2</v>
      </c>
      <c r="E57" s="2">
        <v>0.6</v>
      </c>
      <c r="F57" s="2">
        <v>6.6666666666666596E-2</v>
      </c>
      <c r="G57" s="2">
        <v>1</v>
      </c>
    </row>
    <row r="58" spans="1:7" x14ac:dyDescent="0.25">
      <c r="A58" s="2" t="str">
        <f>HYPERLINK("./new_k5/query_cmdrels_weight_analyze/0.4_0.3_0.3/au_207447.xlsx","au_207447")</f>
        <v>au_207447</v>
      </c>
      <c r="B58" s="2">
        <v>0</v>
      </c>
      <c r="C58" s="2">
        <v>0</v>
      </c>
      <c r="D58" s="2">
        <v>0</v>
      </c>
      <c r="E58" s="2">
        <v>0.16666666666666671</v>
      </c>
      <c r="F58" s="2">
        <v>6.6666666666666596E-2</v>
      </c>
      <c r="G58" s="2">
        <v>0.3</v>
      </c>
    </row>
    <row r="59" spans="1:7" x14ac:dyDescent="0.25">
      <c r="A59" s="2" t="str">
        <f>HYPERLINK("./new_k5/query_cmdrels_weight_analyze/0.4_0.3_0.3/au_210680.xlsx","au_210680")</f>
        <v>au_210680</v>
      </c>
      <c r="B59" s="2">
        <v>0</v>
      </c>
      <c r="C59" s="2">
        <v>0.2</v>
      </c>
      <c r="D59" s="2">
        <v>0</v>
      </c>
      <c r="E59" s="2">
        <v>0.6</v>
      </c>
      <c r="F59" s="2">
        <v>0.05</v>
      </c>
      <c r="G59" s="2">
        <v>0.6</v>
      </c>
    </row>
    <row r="60" spans="1:7" x14ac:dyDescent="0.25">
      <c r="A60" s="2" t="str">
        <f>HYPERLINK("./new_k5/query_cmdrels_weight_analyze/0.4_0.3_0.3/au_214246.xlsx","au_214246")</f>
        <v>au_214246</v>
      </c>
      <c r="B60" s="2">
        <v>0</v>
      </c>
      <c r="C60" s="2">
        <v>0.2</v>
      </c>
      <c r="D60" s="2">
        <v>0</v>
      </c>
      <c r="E60" s="2">
        <v>0.4</v>
      </c>
      <c r="F60" s="2">
        <v>0.05</v>
      </c>
      <c r="G60" s="2">
        <v>0.55000000000000004</v>
      </c>
    </row>
    <row r="61" spans="1:7" x14ac:dyDescent="0.25">
      <c r="A61" s="2" t="str">
        <f>HYPERLINK("./new_k5/query_cmdrels_weight_analyze/0.4_0.3_0.3/au_214643.xlsx","au_214643")</f>
        <v>au_214643</v>
      </c>
      <c r="B61" s="2">
        <v>0.5</v>
      </c>
      <c r="C61" s="2">
        <v>0.5</v>
      </c>
      <c r="D61" s="2">
        <v>0.5</v>
      </c>
      <c r="E61" s="2">
        <v>0.5</v>
      </c>
      <c r="F61" s="2">
        <v>0.5</v>
      </c>
      <c r="G61" s="2">
        <v>0.5</v>
      </c>
    </row>
    <row r="62" spans="1:7" x14ac:dyDescent="0.25">
      <c r="A62" s="2" t="str">
        <f>HYPERLINK("./new_k5/query_cmdrels_weight_analyze/0.4_0.3_0.3/au_2194.xlsx","au_2194")</f>
        <v>au_2194</v>
      </c>
      <c r="B62" s="2">
        <v>0</v>
      </c>
      <c r="C62" s="2">
        <v>0</v>
      </c>
      <c r="D62" s="2">
        <v>0</v>
      </c>
      <c r="E62" s="2">
        <v>7.1428571428571425E-2</v>
      </c>
      <c r="F62" s="2">
        <v>0</v>
      </c>
      <c r="G62" s="2">
        <v>0.22857142857142859</v>
      </c>
    </row>
    <row r="63" spans="1:7" x14ac:dyDescent="0.25">
      <c r="A63" s="2" t="str">
        <f>HYPERLINK("./new_k5/query_cmdrels_weight_analyze/0.4_0.3_0.3/au_221962.xlsx","au_221962")</f>
        <v>au_221962</v>
      </c>
      <c r="B63" s="2">
        <v>0</v>
      </c>
      <c r="C63" s="2">
        <v>0</v>
      </c>
      <c r="D63" s="2">
        <v>0</v>
      </c>
      <c r="E63" s="2">
        <v>8.3333333333333329E-2</v>
      </c>
      <c r="F63" s="2">
        <v>0</v>
      </c>
      <c r="G63" s="2">
        <v>0.26666666666666672</v>
      </c>
    </row>
    <row r="64" spans="1:7" x14ac:dyDescent="0.25">
      <c r="A64" s="2" t="str">
        <f>HYPERLINK("./new_k5/query_cmdrels_weight_analyze/0.4_0.3_0.3/au_22608.xlsx","au_22608")</f>
        <v>au_22608</v>
      </c>
      <c r="B64" s="2">
        <v>0</v>
      </c>
      <c r="C64" s="2">
        <v>0.33333333333333331</v>
      </c>
      <c r="D64" s="2">
        <v>0</v>
      </c>
      <c r="E64" s="2">
        <v>0.33333333333333331</v>
      </c>
      <c r="F64" s="2">
        <v>6.6666666666666596E-2</v>
      </c>
      <c r="G64" s="2">
        <v>0.5</v>
      </c>
    </row>
    <row r="65" spans="1:7" x14ac:dyDescent="0.25">
      <c r="A65" s="2" t="str">
        <f>HYPERLINK("./new_k5/query_cmdrels_weight_analyze/0.4_0.3_0.3/au_230698.xlsx","au_230698")</f>
        <v>au_230698</v>
      </c>
      <c r="B65" s="2">
        <v>0.125</v>
      </c>
      <c r="C65" s="2">
        <v>0.125</v>
      </c>
      <c r="D65" s="2">
        <v>0.25</v>
      </c>
      <c r="E65" s="2">
        <v>0.25</v>
      </c>
      <c r="F65" s="2">
        <v>0.25</v>
      </c>
      <c r="G65" s="2">
        <v>0.34375</v>
      </c>
    </row>
    <row r="66" spans="1:7" x14ac:dyDescent="0.25">
      <c r="A66" s="2" t="str">
        <f>HYPERLINK("./new_k5/query_cmdrels_weight_analyze/0.4_0.3_0.3/au_232442.xlsx","au_232442")</f>
        <v>au_232442</v>
      </c>
      <c r="B66" s="2">
        <v>0.5</v>
      </c>
      <c r="C66" s="2">
        <v>0</v>
      </c>
      <c r="D66" s="2">
        <v>0.5</v>
      </c>
      <c r="E66" s="2">
        <v>0</v>
      </c>
      <c r="F66" s="2">
        <v>0.7</v>
      </c>
      <c r="G66" s="2">
        <v>0</v>
      </c>
    </row>
    <row r="67" spans="1:7" x14ac:dyDescent="0.25">
      <c r="A67" s="2" t="str">
        <f>HYPERLINK("./new_k5/query_cmdrels_weight_analyze/0.4_0.3_0.3/au_233378.xlsx","au_233378")</f>
        <v>au_233378</v>
      </c>
      <c r="B67" s="2">
        <v>0.5</v>
      </c>
      <c r="C67" s="2">
        <v>0.5</v>
      </c>
      <c r="D67" s="2">
        <v>0.5</v>
      </c>
      <c r="E67" s="2">
        <v>0.5</v>
      </c>
      <c r="F67" s="2">
        <v>0.5</v>
      </c>
      <c r="G67" s="2">
        <v>0.5</v>
      </c>
    </row>
    <row r="68" spans="1:7" x14ac:dyDescent="0.25">
      <c r="A68" s="2" t="str">
        <f>HYPERLINK("./new_k5/query_cmdrels_weight_analyze/0.4_0.3_0.3/au_24027.xlsx","au_24027")</f>
        <v>au_24027</v>
      </c>
      <c r="B68" s="2">
        <v>0</v>
      </c>
      <c r="C68" s="2">
        <v>0.16666666666666671</v>
      </c>
      <c r="D68" s="2">
        <v>0.194444444444444</v>
      </c>
      <c r="E68" s="2">
        <v>0.33333333333333331</v>
      </c>
      <c r="F68" s="2">
        <v>0.194444444444444</v>
      </c>
      <c r="G68" s="2">
        <v>0.45833333333333331</v>
      </c>
    </row>
    <row r="69" spans="1:7" x14ac:dyDescent="0.25">
      <c r="A69" s="2" t="str">
        <f>HYPERLINK("./new_k5/query_cmdrels_weight_analyze/0.4_0.3_0.3/au_246647.xlsx","au_246647")</f>
        <v>au_246647</v>
      </c>
      <c r="B69" s="2">
        <v>0.125</v>
      </c>
      <c r="C69" s="2">
        <v>0.125</v>
      </c>
      <c r="D69" s="2">
        <v>0.125</v>
      </c>
      <c r="E69" s="2">
        <v>0.20833333333333329</v>
      </c>
      <c r="F69" s="2">
        <v>0.125</v>
      </c>
      <c r="G69" s="2">
        <v>0.20833333333333329</v>
      </c>
    </row>
    <row r="70" spans="1:7" x14ac:dyDescent="0.25">
      <c r="A70" s="2" t="str">
        <f>HYPERLINK("./new_k5/query_cmdrels_weight_analyze/0.4_0.3_0.3/au_254424.xlsx","au_254424")</f>
        <v>au_254424</v>
      </c>
      <c r="B70" s="2">
        <v>0</v>
      </c>
      <c r="C70" s="2">
        <v>0</v>
      </c>
      <c r="D70" s="2">
        <v>0</v>
      </c>
      <c r="E70" s="2">
        <v>0</v>
      </c>
      <c r="F70" s="2">
        <v>6.25E-2</v>
      </c>
      <c r="G70" s="2">
        <v>6.25E-2</v>
      </c>
    </row>
    <row r="71" spans="1:7" x14ac:dyDescent="0.25">
      <c r="A71" s="2" t="str">
        <f>HYPERLINK("./new_k5/query_cmdrels_weight_analyze/0.4_0.3_0.3/au_255890.xlsx","au_255890")</f>
        <v>au_255890</v>
      </c>
      <c r="B71" s="2">
        <v>0</v>
      </c>
      <c r="C71" s="2">
        <v>0</v>
      </c>
      <c r="D71" s="2">
        <v>0</v>
      </c>
      <c r="E71" s="2">
        <v>0</v>
      </c>
      <c r="F71" s="2">
        <v>0</v>
      </c>
      <c r="G71" s="2">
        <v>0</v>
      </c>
    </row>
    <row r="72" spans="1:7" x14ac:dyDescent="0.25">
      <c r="A72" s="2" t="str">
        <f>HYPERLINK("./new_k5/query_cmdrels_weight_analyze/0.4_0.3_0.3/au_257248.xlsx","au_257248")</f>
        <v>au_257248</v>
      </c>
      <c r="B72" s="2">
        <v>0</v>
      </c>
      <c r="C72" s="2">
        <v>0.14285714285714279</v>
      </c>
      <c r="D72" s="2">
        <v>0</v>
      </c>
      <c r="E72" s="2">
        <v>0.23809523809523811</v>
      </c>
      <c r="F72" s="2">
        <v>0</v>
      </c>
      <c r="G72" s="2">
        <v>0.34523809523809518</v>
      </c>
    </row>
    <row r="73" spans="1:7" x14ac:dyDescent="0.25">
      <c r="A73" s="2" t="str">
        <f>HYPERLINK("./new_k5/query_cmdrels_weight_analyze/0.4_0.3_0.3/au_259354.xlsx","au_259354")</f>
        <v>au_259354</v>
      </c>
      <c r="B73" s="2">
        <v>0</v>
      </c>
      <c r="C73" s="2">
        <v>0.14285714285714279</v>
      </c>
      <c r="D73" s="2">
        <v>4.7619047619047603E-2</v>
      </c>
      <c r="E73" s="2">
        <v>0.2857142857142857</v>
      </c>
      <c r="F73" s="2">
        <v>4.7619047619047603E-2</v>
      </c>
      <c r="G73" s="2">
        <v>0.39285714285714279</v>
      </c>
    </row>
    <row r="74" spans="1:7" x14ac:dyDescent="0.25">
      <c r="A74" s="2" t="str">
        <f>HYPERLINK("./new_k5/query_cmdrels_weight_analyze/0.4_0.3_0.3/au_263378.xlsx","au_263378")</f>
        <v>au_263378</v>
      </c>
      <c r="B74" s="2">
        <v>0</v>
      </c>
      <c r="C74" s="2">
        <v>0.125</v>
      </c>
      <c r="D74" s="2">
        <v>4.1666666666666602E-2</v>
      </c>
      <c r="E74" s="2">
        <v>0.375</v>
      </c>
      <c r="F74" s="2">
        <v>9.1666666666666605E-2</v>
      </c>
      <c r="G74" s="2">
        <v>0.5</v>
      </c>
    </row>
    <row r="75" spans="1:7" x14ac:dyDescent="0.25">
      <c r="A75" s="2" t="str">
        <f>HYPERLINK("./new_k5/query_cmdrels_weight_analyze/0.4_0.3_0.3/au_264215.xlsx","au_264215")</f>
        <v>au_264215</v>
      </c>
      <c r="B75" s="2">
        <v>0.5</v>
      </c>
      <c r="C75" s="2">
        <v>0.5</v>
      </c>
      <c r="D75" s="2">
        <v>0.5</v>
      </c>
      <c r="E75" s="2">
        <v>0.5</v>
      </c>
      <c r="F75" s="2">
        <v>0.5</v>
      </c>
      <c r="G75" s="2">
        <v>0.5</v>
      </c>
    </row>
    <row r="76" spans="1:7" x14ac:dyDescent="0.25">
      <c r="A76" s="2" t="str">
        <f>HYPERLINK("./new_k5/query_cmdrels_weight_analyze/0.4_0.3_0.3/au_265176.xlsx","au_265176")</f>
        <v>au_265176</v>
      </c>
      <c r="B76" s="2">
        <v>0.5</v>
      </c>
      <c r="C76" s="2">
        <v>0.5</v>
      </c>
      <c r="D76" s="2">
        <v>0.5</v>
      </c>
      <c r="E76" s="2">
        <v>0.5</v>
      </c>
      <c r="F76" s="2">
        <v>0.5</v>
      </c>
      <c r="G76" s="2">
        <v>0.5</v>
      </c>
    </row>
    <row r="77" spans="1:7" x14ac:dyDescent="0.25">
      <c r="A77" s="2" t="str">
        <f>HYPERLINK("./new_k5/query_cmdrels_weight_analyze/0.4_0.3_0.3/au_275704.xlsx","au_275704")</f>
        <v>au_275704</v>
      </c>
      <c r="B77" s="2">
        <v>0</v>
      </c>
      <c r="C77" s="2">
        <v>1</v>
      </c>
      <c r="D77" s="2">
        <v>0.5</v>
      </c>
      <c r="E77" s="2">
        <v>1</v>
      </c>
      <c r="F77" s="2">
        <v>0.5</v>
      </c>
      <c r="G77" s="2">
        <v>1</v>
      </c>
    </row>
    <row r="78" spans="1:7" x14ac:dyDescent="0.25">
      <c r="A78" s="2" t="str">
        <f>HYPERLINK("./new_k5/query_cmdrels_weight_analyze/0.4_0.3_0.3/au_276669.xlsx","au_276669")</f>
        <v>au_276669</v>
      </c>
      <c r="B78" s="2">
        <v>0</v>
      </c>
      <c r="C78" s="2">
        <v>0.14285714285714279</v>
      </c>
      <c r="D78" s="2">
        <v>0</v>
      </c>
      <c r="E78" s="2">
        <v>0.42857142857142849</v>
      </c>
      <c r="F78" s="2">
        <v>0</v>
      </c>
      <c r="G78" s="2">
        <v>0.7142857142857143</v>
      </c>
    </row>
    <row r="79" spans="1:7" x14ac:dyDescent="0.25">
      <c r="A79" s="2" t="str">
        <f>HYPERLINK("./new_k5/query_cmdrels_weight_analyze/0.4_0.3_0.3/au_277565.xlsx","au_277565")</f>
        <v>au_277565</v>
      </c>
      <c r="B79" s="2">
        <v>0</v>
      </c>
      <c r="C79" s="2">
        <v>0.5</v>
      </c>
      <c r="D79" s="2">
        <v>0</v>
      </c>
      <c r="E79" s="2">
        <v>0.5</v>
      </c>
      <c r="F79" s="2">
        <v>0</v>
      </c>
      <c r="G79" s="2">
        <v>0.5</v>
      </c>
    </row>
    <row r="80" spans="1:7" x14ac:dyDescent="0.25">
      <c r="A80" s="2" t="str">
        <f>HYPERLINK("./new_k5/query_cmdrels_weight_analyze/0.4_0.3_0.3/au_278403.xlsx","au_278403")</f>
        <v>au_278403</v>
      </c>
      <c r="B80" s="2">
        <v>0</v>
      </c>
      <c r="C80" s="2">
        <v>0</v>
      </c>
      <c r="D80" s="2">
        <v>8.3333333333333301E-2</v>
      </c>
      <c r="E80" s="2">
        <v>8.3333333333333329E-2</v>
      </c>
      <c r="F80" s="2">
        <v>0.18333333333333299</v>
      </c>
      <c r="G80" s="2">
        <v>0.20833333333333329</v>
      </c>
    </row>
    <row r="81" spans="1:7" x14ac:dyDescent="0.25">
      <c r="A81" s="2" t="str">
        <f>HYPERLINK("./new_k5/query_cmdrels_weight_analyze/0.4_0.3_0.3/au_28039.xlsx","au_28039")</f>
        <v>au_28039</v>
      </c>
      <c r="B81" s="2">
        <v>0</v>
      </c>
      <c r="C81" s="2">
        <v>0</v>
      </c>
      <c r="D81" s="2">
        <v>0</v>
      </c>
      <c r="E81" s="2">
        <v>0</v>
      </c>
      <c r="F81" s="2">
        <v>0</v>
      </c>
      <c r="G81" s="2">
        <v>3.3333333333333333E-2</v>
      </c>
    </row>
    <row r="82" spans="1:7" x14ac:dyDescent="0.25">
      <c r="A82" s="2" t="str">
        <f>HYPERLINK("./new_k5/query_cmdrels_weight_analyze/0.4_0.3_0.3/au_281509.xlsx","au_281509")</f>
        <v>au_281509</v>
      </c>
      <c r="B82" s="2">
        <v>0</v>
      </c>
      <c r="C82" s="2">
        <v>0.33333333333333331</v>
      </c>
      <c r="D82" s="2">
        <v>0</v>
      </c>
      <c r="E82" s="2">
        <v>0.66666666666666663</v>
      </c>
      <c r="F82" s="2">
        <v>0</v>
      </c>
      <c r="G82" s="2">
        <v>0.66666666666666663</v>
      </c>
    </row>
    <row r="83" spans="1:7" x14ac:dyDescent="0.25">
      <c r="A83" s="2" t="str">
        <f>HYPERLINK("./new_k5/query_cmdrels_weight_analyze/0.4_0.3_0.3/au_282806.xlsx","au_282806")</f>
        <v>au_282806</v>
      </c>
      <c r="B83" s="2">
        <v>0</v>
      </c>
      <c r="C83" s="2">
        <v>0.33333333333333331</v>
      </c>
      <c r="D83" s="2">
        <v>0</v>
      </c>
      <c r="E83" s="2">
        <v>0.55555555555555547</v>
      </c>
      <c r="F83" s="2">
        <v>0</v>
      </c>
      <c r="G83" s="2">
        <v>0.80555555555555547</v>
      </c>
    </row>
    <row r="84" spans="1:7" x14ac:dyDescent="0.25">
      <c r="A84" s="2" t="str">
        <f>HYPERLINK("./new_k5/query_cmdrels_weight_analyze/0.4_0.3_0.3/au_283559.xlsx","au_283559")</f>
        <v>au_283559</v>
      </c>
      <c r="B84" s="2">
        <v>0</v>
      </c>
      <c r="C84" s="2">
        <v>0.33333333333333331</v>
      </c>
      <c r="D84" s="2">
        <v>0</v>
      </c>
      <c r="E84" s="2">
        <v>0.33333333333333331</v>
      </c>
      <c r="F84" s="2">
        <v>0</v>
      </c>
      <c r="G84" s="2">
        <v>0.33333333333333331</v>
      </c>
    </row>
    <row r="85" spans="1:7" x14ac:dyDescent="0.25">
      <c r="A85" s="2" t="str">
        <f>HYPERLINK("./new_k5/query_cmdrels_weight_analyze/0.4_0.3_0.3/au_285539.xlsx","au_285539")</f>
        <v>au_285539</v>
      </c>
      <c r="B85" s="2">
        <v>0</v>
      </c>
      <c r="C85" s="2">
        <v>0.5</v>
      </c>
      <c r="D85" s="2">
        <v>0</v>
      </c>
      <c r="E85" s="2">
        <v>0.5</v>
      </c>
      <c r="F85" s="2">
        <v>0.125</v>
      </c>
      <c r="G85" s="2">
        <v>0.5</v>
      </c>
    </row>
    <row r="86" spans="1:7" x14ac:dyDescent="0.25">
      <c r="A86" s="2" t="str">
        <f>HYPERLINK("./new_k5/query_cmdrels_weight_analyze/0.4_0.3_0.3/au_287532.xlsx","au_287532")</f>
        <v>au_287532</v>
      </c>
      <c r="B86" s="2">
        <v>0</v>
      </c>
      <c r="C86" s="2">
        <v>0</v>
      </c>
      <c r="D86" s="2">
        <v>0</v>
      </c>
      <c r="E86" s="2">
        <v>8.3333333333333329E-2</v>
      </c>
      <c r="F86" s="2">
        <v>0</v>
      </c>
      <c r="G86" s="2">
        <v>8.3333333333333329E-2</v>
      </c>
    </row>
    <row r="87" spans="1:7" x14ac:dyDescent="0.25">
      <c r="A87" s="2" t="str">
        <f>HYPERLINK("./new_k5/query_cmdrels_weight_analyze/0.4_0.3_0.3/au_294257.xlsx","au_294257")</f>
        <v>au_294257</v>
      </c>
      <c r="B87" s="2">
        <v>0</v>
      </c>
      <c r="C87" s="2">
        <v>0.14285714285714279</v>
      </c>
      <c r="D87" s="2">
        <v>7.1428571428571397E-2</v>
      </c>
      <c r="E87" s="2">
        <v>0.2857142857142857</v>
      </c>
      <c r="F87" s="2">
        <v>0.128571428571428</v>
      </c>
      <c r="G87" s="2">
        <v>0.50714285714285712</v>
      </c>
    </row>
    <row r="88" spans="1:7" x14ac:dyDescent="0.25">
      <c r="A88" s="2" t="str">
        <f>HYPERLINK("./new_k5/query_cmdrels_weight_analyze/0.4_0.3_0.3/au_296155.xlsx","au_296155")</f>
        <v>au_296155</v>
      </c>
      <c r="B88" s="2">
        <v>0</v>
      </c>
      <c r="C88" s="2">
        <v>0.25</v>
      </c>
      <c r="D88" s="2">
        <v>8.3333333333333301E-2</v>
      </c>
      <c r="E88" s="2">
        <v>0.25</v>
      </c>
      <c r="F88" s="2">
        <v>8.3333333333333301E-2</v>
      </c>
      <c r="G88" s="2">
        <v>0.25</v>
      </c>
    </row>
    <row r="89" spans="1:7" x14ac:dyDescent="0.25">
      <c r="A89" s="2" t="str">
        <f>HYPERLINK("./new_k5/query_cmdrels_weight_analyze/0.4_0.3_0.3/au_299975.xlsx","au_299975")</f>
        <v>au_299975</v>
      </c>
      <c r="B89" s="2">
        <v>0</v>
      </c>
      <c r="C89" s="2">
        <v>0</v>
      </c>
      <c r="D89" s="2">
        <v>0</v>
      </c>
      <c r="E89" s="2">
        <v>8.3333333333333329E-2</v>
      </c>
      <c r="F89" s="2">
        <v>0</v>
      </c>
      <c r="G89" s="2">
        <v>8.3333333333333329E-2</v>
      </c>
    </row>
    <row r="90" spans="1:7" x14ac:dyDescent="0.25">
      <c r="A90" s="2" t="str">
        <f>HYPERLINK("./new_k5/query_cmdrels_weight_analyze/0.4_0.3_0.3/au_301096.xlsx","au_301096")</f>
        <v>au_301096</v>
      </c>
      <c r="B90" s="2">
        <v>0</v>
      </c>
      <c r="C90" s="2">
        <v>0.125</v>
      </c>
      <c r="D90" s="2">
        <v>6.25E-2</v>
      </c>
      <c r="E90" s="2">
        <v>0.375</v>
      </c>
      <c r="F90" s="2">
        <v>0.2</v>
      </c>
      <c r="G90" s="2">
        <v>0.625</v>
      </c>
    </row>
    <row r="91" spans="1:7" x14ac:dyDescent="0.25">
      <c r="A91" s="2" t="str">
        <f>HYPERLINK("./new_k5/query_cmdrels_weight_analyze/0.4_0.3_0.3/au_303593.xlsx","au_303593")</f>
        <v>au_303593</v>
      </c>
      <c r="B91" s="2">
        <v>0.25</v>
      </c>
      <c r="C91" s="2">
        <v>0.25</v>
      </c>
      <c r="D91" s="2">
        <v>0.41666666666666602</v>
      </c>
      <c r="E91" s="2">
        <v>0.5</v>
      </c>
      <c r="F91" s="2">
        <v>0.41666666666666602</v>
      </c>
      <c r="G91" s="2">
        <v>0.5</v>
      </c>
    </row>
    <row r="92" spans="1:7" x14ac:dyDescent="0.25">
      <c r="A92" s="2" t="str">
        <f>HYPERLINK("./new_k5/query_cmdrels_weight_analyze/0.4_0.3_0.3/au_303849.xlsx","au_303849")</f>
        <v>au_303849</v>
      </c>
      <c r="B92" s="2">
        <v>0.11111111111111099</v>
      </c>
      <c r="C92" s="2">
        <v>0.1111111111111111</v>
      </c>
      <c r="D92" s="2">
        <v>0.11111111111111099</v>
      </c>
      <c r="E92" s="2">
        <v>0.1111111111111111</v>
      </c>
      <c r="F92" s="2">
        <v>0.11111111111111099</v>
      </c>
      <c r="G92" s="2">
        <v>0.16666666666666671</v>
      </c>
    </row>
    <row r="93" spans="1:7" x14ac:dyDescent="0.25">
      <c r="A93" s="2" t="str">
        <f>HYPERLINK("./new_k5/query_cmdrels_weight_analyze/0.4_0.3_0.3/au_307541.xlsx","au_307541")</f>
        <v>au_307541</v>
      </c>
      <c r="B93" s="2">
        <v>0</v>
      </c>
      <c r="C93" s="2">
        <v>0</v>
      </c>
      <c r="D93" s="2">
        <v>0</v>
      </c>
      <c r="E93" s="2">
        <v>0</v>
      </c>
      <c r="F93" s="2">
        <v>0.125</v>
      </c>
      <c r="G93" s="2">
        <v>0</v>
      </c>
    </row>
    <row r="94" spans="1:7" x14ac:dyDescent="0.25">
      <c r="A94" s="2" t="str">
        <f>HYPERLINK("./new_k5/query_cmdrels_weight_analyze/0.4_0.3_0.3/au_307688.xlsx","au_307688")</f>
        <v>au_307688</v>
      </c>
      <c r="B94" s="2">
        <v>0</v>
      </c>
      <c r="C94" s="2">
        <v>0.2</v>
      </c>
      <c r="D94" s="2">
        <v>0.1</v>
      </c>
      <c r="E94" s="2">
        <v>0.2</v>
      </c>
      <c r="F94" s="2">
        <v>0.1</v>
      </c>
      <c r="G94" s="2">
        <v>0.2</v>
      </c>
    </row>
    <row r="95" spans="1:7" x14ac:dyDescent="0.25">
      <c r="A95" s="2" t="str">
        <f>HYPERLINK("./new_k5/query_cmdrels_weight_analyze/0.4_0.3_0.3/au_309047.xlsx","au_309047")</f>
        <v>au_309047</v>
      </c>
      <c r="B95" s="2">
        <v>0</v>
      </c>
      <c r="C95" s="2">
        <v>0.25</v>
      </c>
      <c r="D95" s="2">
        <v>0</v>
      </c>
      <c r="E95" s="2">
        <v>0.5</v>
      </c>
      <c r="F95" s="2">
        <v>6.25E-2</v>
      </c>
      <c r="G95" s="2">
        <v>0.5</v>
      </c>
    </row>
    <row r="96" spans="1:7" x14ac:dyDescent="0.25">
      <c r="A96" s="2" t="str">
        <f>HYPERLINK("./new_k5/query_cmdrels_weight_analyze/0.4_0.3_0.3/au_311558.xlsx","au_311558")</f>
        <v>au_311558</v>
      </c>
      <c r="B96" s="2">
        <v>0.25</v>
      </c>
      <c r="C96" s="2">
        <v>0.25</v>
      </c>
      <c r="D96" s="2">
        <v>0.25</v>
      </c>
      <c r="E96" s="2">
        <v>0.41666666666666657</v>
      </c>
      <c r="F96" s="2">
        <v>0.375</v>
      </c>
      <c r="G96" s="2">
        <v>0.41666666666666657</v>
      </c>
    </row>
    <row r="97" spans="1:7" x14ac:dyDescent="0.25">
      <c r="A97" s="2" t="str">
        <f>HYPERLINK("./new_k5/query_cmdrels_weight_analyze/0.4_0.3_0.3/au_318973.xlsx","au_318973")</f>
        <v>au_318973</v>
      </c>
      <c r="B97" s="2">
        <v>0</v>
      </c>
      <c r="C97" s="2">
        <v>0.125</v>
      </c>
      <c r="D97" s="2">
        <v>0</v>
      </c>
      <c r="E97" s="2">
        <v>0.375</v>
      </c>
      <c r="F97" s="2">
        <v>0</v>
      </c>
      <c r="G97" s="2">
        <v>0.625</v>
      </c>
    </row>
    <row r="98" spans="1:7" x14ac:dyDescent="0.25">
      <c r="A98" s="2" t="str">
        <f>HYPERLINK("./new_k5/query_cmdrels_weight_analyze/0.4_0.3_0.3/au_3205.xlsx","au_3205")</f>
        <v>au_3205</v>
      </c>
      <c r="B98" s="2">
        <v>0</v>
      </c>
      <c r="C98" s="2">
        <v>0.5</v>
      </c>
      <c r="D98" s="2">
        <v>0</v>
      </c>
      <c r="E98" s="2">
        <v>1</v>
      </c>
      <c r="F98" s="2">
        <v>0.125</v>
      </c>
      <c r="G98" s="2">
        <v>1</v>
      </c>
    </row>
    <row r="99" spans="1:7" x14ac:dyDescent="0.25">
      <c r="A99" s="2" t="str">
        <f>HYPERLINK("./new_k5/query_cmdrels_weight_analyze/0.4_0.3_0.3/au_323131.xlsx","au_323131")</f>
        <v>au_323131</v>
      </c>
      <c r="B99" s="2">
        <v>0</v>
      </c>
      <c r="C99" s="2">
        <v>0.33333333333333331</v>
      </c>
      <c r="D99" s="2">
        <v>0</v>
      </c>
      <c r="E99" s="2">
        <v>0.33333333333333331</v>
      </c>
      <c r="F99" s="2">
        <v>0.21666666666666601</v>
      </c>
      <c r="G99" s="2">
        <v>0.5</v>
      </c>
    </row>
    <row r="100" spans="1:7" x14ac:dyDescent="0.25">
      <c r="A100" s="2" t="str">
        <f>HYPERLINK("./new_k5/query_cmdrels_weight_analyze/0.4_0.3_0.3/au_323392.xlsx","au_323392")</f>
        <v>au_323392</v>
      </c>
      <c r="B100" s="2">
        <v>0</v>
      </c>
      <c r="C100" s="2">
        <v>0.125</v>
      </c>
      <c r="D100" s="2">
        <v>6.25E-2</v>
      </c>
      <c r="E100" s="2">
        <v>0.375</v>
      </c>
      <c r="F100" s="2">
        <v>6.25E-2</v>
      </c>
      <c r="G100" s="2">
        <v>0.625</v>
      </c>
    </row>
    <row r="101" spans="1:7" x14ac:dyDescent="0.25">
      <c r="A101" s="2" t="str">
        <f>HYPERLINK("./new_k5/query_cmdrels_weight_analyze/0.4_0.3_0.3/au_325368.xlsx","au_325368")</f>
        <v>au_325368</v>
      </c>
      <c r="B101" s="2">
        <v>0</v>
      </c>
      <c r="C101" s="2">
        <v>1</v>
      </c>
      <c r="D101" s="2">
        <v>0.33333333333333298</v>
      </c>
      <c r="E101" s="2">
        <v>1</v>
      </c>
      <c r="F101" s="2">
        <v>0.33333333333333298</v>
      </c>
      <c r="G101" s="2">
        <v>1</v>
      </c>
    </row>
    <row r="102" spans="1:7" x14ac:dyDescent="0.25">
      <c r="A102" s="2" t="str">
        <f>HYPERLINK("./new_k5/query_cmdrels_weight_analyze/0.4_0.3_0.3/au_328162.xlsx","au_328162")</f>
        <v>au_328162</v>
      </c>
      <c r="B102" s="2">
        <v>0.33333333333333298</v>
      </c>
      <c r="C102" s="2">
        <v>0.33333333333333331</v>
      </c>
      <c r="D102" s="2">
        <v>0.33333333333333298</v>
      </c>
      <c r="E102" s="2">
        <v>0.55555555555555547</v>
      </c>
      <c r="F102" s="2">
        <v>0.33333333333333298</v>
      </c>
      <c r="G102" s="2">
        <v>0.55555555555555547</v>
      </c>
    </row>
    <row r="103" spans="1:7" x14ac:dyDescent="0.25">
      <c r="A103" s="2" t="str">
        <f>HYPERLINK("./new_k5/query_cmdrels_weight_analyze/0.4_0.3_0.3/au_330148.xlsx","au_330148")</f>
        <v>au_330148</v>
      </c>
      <c r="B103" s="2">
        <v>0</v>
      </c>
      <c r="C103" s="2">
        <v>0.2</v>
      </c>
      <c r="D103" s="2">
        <v>0</v>
      </c>
      <c r="E103" s="2">
        <v>0.4</v>
      </c>
      <c r="F103" s="2">
        <v>0.05</v>
      </c>
      <c r="G103" s="2">
        <v>0.4</v>
      </c>
    </row>
    <row r="104" spans="1:7" x14ac:dyDescent="0.25">
      <c r="A104" s="2" t="str">
        <f>HYPERLINK("./new_k5/query_cmdrels_weight_analyze/0.4_0.3_0.3/au_332315.xlsx","au_332315")</f>
        <v>au_332315</v>
      </c>
      <c r="B104" s="2">
        <v>0</v>
      </c>
      <c r="C104" s="2">
        <v>0</v>
      </c>
      <c r="D104" s="2">
        <v>0</v>
      </c>
      <c r="E104" s="2">
        <v>0.16666666666666671</v>
      </c>
      <c r="F104" s="2">
        <v>0</v>
      </c>
      <c r="G104" s="2">
        <v>0.16666666666666671</v>
      </c>
    </row>
    <row r="105" spans="1:7" x14ac:dyDescent="0.25">
      <c r="A105" s="2" t="str">
        <f>HYPERLINK("./new_k5/query_cmdrels_weight_analyze/0.4_0.3_0.3/au_334081.xlsx","au_334081")</f>
        <v>au_334081</v>
      </c>
      <c r="B105" s="2">
        <v>0.25</v>
      </c>
      <c r="C105" s="2">
        <v>0.25</v>
      </c>
      <c r="D105" s="2">
        <v>0.5</v>
      </c>
      <c r="E105" s="2">
        <v>0.75</v>
      </c>
      <c r="F105" s="2">
        <v>0.5</v>
      </c>
      <c r="G105" s="2">
        <v>0.75</v>
      </c>
    </row>
    <row r="106" spans="1:7" x14ac:dyDescent="0.25">
      <c r="A106" s="2" t="str">
        <f>HYPERLINK("./new_k5/query_cmdrels_weight_analyze/0.4_0.3_0.3/au_34077.xlsx","au_34077")</f>
        <v>au_34077</v>
      </c>
      <c r="B106" s="2">
        <v>0</v>
      </c>
      <c r="C106" s="2">
        <v>0.16666666666666671</v>
      </c>
      <c r="D106" s="2">
        <v>0</v>
      </c>
      <c r="E106" s="2">
        <v>0.33333333333333331</v>
      </c>
      <c r="F106" s="2">
        <v>0.108333333333333</v>
      </c>
      <c r="G106" s="2">
        <v>0.59166666666666667</v>
      </c>
    </row>
    <row r="107" spans="1:7" x14ac:dyDescent="0.25">
      <c r="A107" s="2" t="str">
        <f>HYPERLINK("./new_k5/query_cmdrels_weight_analyze/0.4_0.3_0.3/au_341428.xlsx","au_341428")</f>
        <v>au_341428</v>
      </c>
      <c r="B107" s="2">
        <v>0.14285714285714199</v>
      </c>
      <c r="C107" s="2">
        <v>0.14285714285714279</v>
      </c>
      <c r="D107" s="2">
        <v>0.238095238095238</v>
      </c>
      <c r="E107" s="2">
        <v>0.2857142857142857</v>
      </c>
      <c r="F107" s="2">
        <v>0.459523809523809</v>
      </c>
      <c r="G107" s="2">
        <v>0.50714285714285712</v>
      </c>
    </row>
    <row r="108" spans="1:7" x14ac:dyDescent="0.25">
      <c r="A108" s="2" t="str">
        <f>HYPERLINK("./new_k5/query_cmdrels_weight_analyze/0.4_0.3_0.3/au_341584.xlsx","au_341584")</f>
        <v>au_341584</v>
      </c>
      <c r="B108" s="2">
        <v>0.25</v>
      </c>
      <c r="C108" s="2">
        <v>0</v>
      </c>
      <c r="D108" s="2">
        <v>0.25</v>
      </c>
      <c r="E108" s="2">
        <v>0.125</v>
      </c>
      <c r="F108" s="2">
        <v>0.25</v>
      </c>
      <c r="G108" s="2">
        <v>0.125</v>
      </c>
    </row>
    <row r="109" spans="1:7" x14ac:dyDescent="0.25">
      <c r="A109" s="2" t="str">
        <f>HYPERLINK("./new_k5/query_cmdrels_weight_analyze/0.4_0.3_0.3/au_346864.xlsx","au_346864")</f>
        <v>au_346864</v>
      </c>
      <c r="B109" s="2">
        <v>0</v>
      </c>
      <c r="C109" s="2">
        <v>0.14285714285714279</v>
      </c>
      <c r="D109" s="2">
        <v>0</v>
      </c>
      <c r="E109" s="2">
        <v>0.2857142857142857</v>
      </c>
      <c r="F109" s="2">
        <v>3.5714285714285698E-2</v>
      </c>
      <c r="G109" s="2">
        <v>0.37142857142857139</v>
      </c>
    </row>
    <row r="110" spans="1:7" x14ac:dyDescent="0.25">
      <c r="A110" s="2" t="str">
        <f>HYPERLINK("./new_k5/query_cmdrels_weight_analyze/0.4_0.3_0.3/au_351765.xlsx","au_351765")</f>
        <v>au_351765</v>
      </c>
      <c r="B110" s="2">
        <v>0</v>
      </c>
      <c r="C110" s="2">
        <v>0.5</v>
      </c>
      <c r="D110" s="2">
        <v>0</v>
      </c>
      <c r="E110" s="2">
        <v>0.5</v>
      </c>
      <c r="F110" s="2">
        <v>0</v>
      </c>
      <c r="G110" s="2">
        <v>0.5</v>
      </c>
    </row>
    <row r="111" spans="1:7" x14ac:dyDescent="0.25">
      <c r="A111" s="2" t="str">
        <f>HYPERLINK("./new_k5/query_cmdrels_weight_analyze/0.4_0.3_0.3/au_35922.xlsx","au_35922")</f>
        <v>au_35922</v>
      </c>
      <c r="B111" s="2">
        <v>0</v>
      </c>
      <c r="C111" s="2">
        <v>0.5</v>
      </c>
      <c r="D111" s="2">
        <v>0</v>
      </c>
      <c r="E111" s="2">
        <v>0.5</v>
      </c>
      <c r="F111" s="2">
        <v>0.125</v>
      </c>
      <c r="G111" s="2">
        <v>0.5</v>
      </c>
    </row>
    <row r="112" spans="1:7" x14ac:dyDescent="0.25">
      <c r="A112" s="2" t="str">
        <f>HYPERLINK("./new_k5/query_cmdrels_weight_analyze/0.4_0.3_0.3/au_359856.xlsx","au_359856")</f>
        <v>au_359856</v>
      </c>
      <c r="B112" s="2">
        <v>0</v>
      </c>
      <c r="C112" s="2">
        <v>0.25</v>
      </c>
      <c r="D112" s="2">
        <v>0</v>
      </c>
      <c r="E112" s="2">
        <v>0.5</v>
      </c>
      <c r="F112" s="2">
        <v>0</v>
      </c>
      <c r="G112" s="2">
        <v>0.5</v>
      </c>
    </row>
    <row r="113" spans="1:7" x14ac:dyDescent="0.25">
      <c r="A113" s="2" t="str">
        <f>HYPERLINK("./new_k5/query_cmdrels_weight_analyze/0.4_0.3_0.3/au_360423.xlsx","au_360423")</f>
        <v>au_360423</v>
      </c>
      <c r="B113" s="2">
        <v>0</v>
      </c>
      <c r="C113" s="2">
        <v>0</v>
      </c>
      <c r="D113" s="2">
        <v>0</v>
      </c>
      <c r="E113" s="2">
        <v>0.16666666666666671</v>
      </c>
      <c r="F113" s="2">
        <v>0</v>
      </c>
      <c r="G113" s="2">
        <v>0.16666666666666671</v>
      </c>
    </row>
    <row r="114" spans="1:7" x14ac:dyDescent="0.25">
      <c r="A114" s="2" t="str">
        <f>HYPERLINK("./new_k5/query_cmdrels_weight_analyze/0.4_0.3_0.3/au_36287.xlsx","au_36287")</f>
        <v>au_36287</v>
      </c>
      <c r="B114" s="2">
        <v>1</v>
      </c>
      <c r="C114" s="2">
        <v>1</v>
      </c>
      <c r="D114" s="2">
        <v>1</v>
      </c>
      <c r="E114" s="2">
        <v>1</v>
      </c>
      <c r="F114" s="2">
        <v>1</v>
      </c>
      <c r="G114" s="2">
        <v>1</v>
      </c>
    </row>
    <row r="115" spans="1:7" x14ac:dyDescent="0.25">
      <c r="A115" s="2" t="str">
        <f>HYPERLINK("./new_k5/query_cmdrels_weight_analyze/0.4_0.3_0.3/au_366742.xlsx","au_366742")</f>
        <v>au_366742</v>
      </c>
      <c r="B115" s="2">
        <v>0</v>
      </c>
      <c r="C115" s="2">
        <v>0</v>
      </c>
      <c r="D115" s="2">
        <v>0</v>
      </c>
      <c r="E115" s="2">
        <v>0.125</v>
      </c>
      <c r="F115" s="2">
        <v>0</v>
      </c>
      <c r="G115" s="2">
        <v>0.22500000000000001</v>
      </c>
    </row>
    <row r="116" spans="1:7" x14ac:dyDescent="0.25">
      <c r="A116" s="2" t="str">
        <f>HYPERLINK("./new_k5/query_cmdrels_weight_analyze/0.4_0.3_0.3/au_377937.xlsx","au_377937")</f>
        <v>au_377937</v>
      </c>
      <c r="B116" s="2">
        <v>0</v>
      </c>
      <c r="C116" s="2">
        <v>0.25</v>
      </c>
      <c r="D116" s="2">
        <v>8.3333333333333301E-2</v>
      </c>
      <c r="E116" s="2">
        <v>0.5</v>
      </c>
      <c r="F116" s="2">
        <v>0.20833333333333301</v>
      </c>
      <c r="G116" s="2">
        <v>0.6875</v>
      </c>
    </row>
    <row r="117" spans="1:7" x14ac:dyDescent="0.25">
      <c r="A117" s="2" t="str">
        <f>HYPERLINK("./new_k5/query_cmdrels_weight_analyze/0.4_0.3_0.3/au_383997.xlsx","au_383997")</f>
        <v>au_383997</v>
      </c>
      <c r="B117" s="2">
        <v>0</v>
      </c>
      <c r="C117" s="2">
        <v>0.14285714285714279</v>
      </c>
      <c r="D117" s="2">
        <v>0</v>
      </c>
      <c r="E117" s="2">
        <v>0.2857142857142857</v>
      </c>
      <c r="F117" s="2">
        <v>3.5714285714285698E-2</v>
      </c>
      <c r="G117" s="2">
        <v>0.39285714285714279</v>
      </c>
    </row>
    <row r="118" spans="1:7" x14ac:dyDescent="0.25">
      <c r="A118" s="2" t="str">
        <f>HYPERLINK("./new_k5/query_cmdrels_weight_analyze/0.4_0.3_0.3/au_3883.xlsx","au_3883")</f>
        <v>au_3883</v>
      </c>
      <c r="B118" s="2">
        <v>0</v>
      </c>
      <c r="C118" s="2">
        <v>0.25</v>
      </c>
      <c r="D118" s="2">
        <v>0</v>
      </c>
      <c r="E118" s="2">
        <v>0.25</v>
      </c>
      <c r="F118" s="2">
        <v>0</v>
      </c>
      <c r="G118" s="2">
        <v>0.35</v>
      </c>
    </row>
    <row r="119" spans="1:7" x14ac:dyDescent="0.25">
      <c r="A119" s="2" t="str">
        <f>HYPERLINK("./new_k5/query_cmdrels_weight_analyze/0.4_0.3_0.3/au_396883.xlsx","au_396883")</f>
        <v>au_396883</v>
      </c>
      <c r="B119" s="2">
        <v>0.5</v>
      </c>
      <c r="C119" s="2">
        <v>0.5</v>
      </c>
      <c r="D119" s="2">
        <v>0.5</v>
      </c>
      <c r="E119" s="2">
        <v>0.5</v>
      </c>
      <c r="F119" s="2">
        <v>0.5</v>
      </c>
      <c r="G119" s="2">
        <v>0.5</v>
      </c>
    </row>
    <row r="120" spans="1:7" x14ac:dyDescent="0.25">
      <c r="A120" s="2" t="str">
        <f>HYPERLINK("./new_k5/query_cmdrels_weight_analyze/0.4_0.3_0.3/au_39760.xlsx","au_39760")</f>
        <v>au_39760</v>
      </c>
      <c r="B120" s="2">
        <v>0</v>
      </c>
      <c r="C120" s="2">
        <v>0</v>
      </c>
      <c r="D120" s="2">
        <v>0</v>
      </c>
      <c r="E120" s="2">
        <v>0</v>
      </c>
      <c r="F120" s="2">
        <v>0</v>
      </c>
      <c r="G120" s="2">
        <v>0</v>
      </c>
    </row>
    <row r="121" spans="1:7" x14ac:dyDescent="0.25">
      <c r="A121" s="2" t="str">
        <f>HYPERLINK("./new_k5/query_cmdrels_weight_analyze/0.4_0.3_0.3/au_398818.xlsx","au_398818")</f>
        <v>au_398818</v>
      </c>
      <c r="B121" s="2">
        <v>0</v>
      </c>
      <c r="C121" s="2">
        <v>0.5</v>
      </c>
      <c r="D121" s="2">
        <v>0</v>
      </c>
      <c r="E121" s="2">
        <v>0.83333333333333326</v>
      </c>
      <c r="F121" s="2">
        <v>0.1</v>
      </c>
      <c r="G121" s="2">
        <v>0.83333333333333326</v>
      </c>
    </row>
    <row r="122" spans="1:7" x14ac:dyDescent="0.25">
      <c r="A122" s="2" t="str">
        <f>HYPERLINK("./new_k5/query_cmdrels_weight_analyze/0.4_0.3_0.3/au_400807.xlsx","au_400807")</f>
        <v>au_400807</v>
      </c>
      <c r="B122" s="2">
        <v>0.33333333333333298</v>
      </c>
      <c r="C122" s="2">
        <v>0.33333333333333331</v>
      </c>
      <c r="D122" s="2">
        <v>0.33333333333333298</v>
      </c>
      <c r="E122" s="2">
        <v>0.66666666666666663</v>
      </c>
      <c r="F122" s="2">
        <v>0.33333333333333298</v>
      </c>
      <c r="G122" s="2">
        <v>0.91666666666666663</v>
      </c>
    </row>
    <row r="123" spans="1:7" x14ac:dyDescent="0.25">
      <c r="A123" s="2" t="str">
        <f>HYPERLINK("./new_k5/query_cmdrels_weight_analyze/0.4_0.3_0.3/au_408611.xlsx","au_408611")</f>
        <v>au_408611</v>
      </c>
      <c r="B123" s="2">
        <v>0</v>
      </c>
      <c r="C123" s="2">
        <v>0.33333333333333331</v>
      </c>
      <c r="D123" s="2">
        <v>0</v>
      </c>
      <c r="E123" s="2">
        <v>0.33333333333333331</v>
      </c>
      <c r="F123" s="2">
        <v>6.6666666666666596E-2</v>
      </c>
      <c r="G123" s="2">
        <v>0.33333333333333331</v>
      </c>
    </row>
    <row r="124" spans="1:7" x14ac:dyDescent="0.25">
      <c r="A124" s="2" t="str">
        <f>HYPERLINK("./new_k5/query_cmdrels_weight_analyze/0.4_0.3_0.3/au_414737.xlsx","au_414737")</f>
        <v>au_414737</v>
      </c>
      <c r="B124" s="2">
        <v>0</v>
      </c>
      <c r="C124" s="2">
        <v>0</v>
      </c>
      <c r="D124" s="2">
        <v>4.7619047619047603E-2</v>
      </c>
      <c r="E124" s="2">
        <v>7.1428571428571425E-2</v>
      </c>
      <c r="F124" s="2">
        <v>0.119047619047619</v>
      </c>
      <c r="G124" s="2">
        <v>0.14285714285714279</v>
      </c>
    </row>
    <row r="125" spans="1:7" x14ac:dyDescent="0.25">
      <c r="A125" s="2" t="str">
        <f>HYPERLINK("./new_k5/query_cmdrels_weight_analyze/0.4_0.3_0.3/au_420722.xlsx","au_420722")</f>
        <v>au_420722</v>
      </c>
      <c r="B125" s="2">
        <v>0.33333333333333298</v>
      </c>
      <c r="C125" s="2">
        <v>0.33333333333333331</v>
      </c>
      <c r="D125" s="2">
        <v>0.33333333333333298</v>
      </c>
      <c r="E125" s="2">
        <v>0.66666666666666663</v>
      </c>
      <c r="F125" s="2">
        <v>0.46666666666666601</v>
      </c>
      <c r="G125" s="2">
        <v>0.66666666666666663</v>
      </c>
    </row>
    <row r="126" spans="1:7" x14ac:dyDescent="0.25">
      <c r="A126" s="2" t="str">
        <f>HYPERLINK("./new_k5/query_cmdrels_weight_analyze/0.4_0.3_0.3/au_423942.xlsx","au_423942")</f>
        <v>au_423942</v>
      </c>
      <c r="B126" s="2">
        <v>0</v>
      </c>
      <c r="C126" s="2">
        <v>0.33333333333333331</v>
      </c>
      <c r="D126" s="2">
        <v>0.16666666666666599</v>
      </c>
      <c r="E126" s="2">
        <v>0.66666666666666663</v>
      </c>
      <c r="F126" s="2">
        <v>0.16666666666666599</v>
      </c>
      <c r="G126" s="2">
        <v>0.66666666666666663</v>
      </c>
    </row>
    <row r="127" spans="1:7" x14ac:dyDescent="0.25">
      <c r="A127" s="2" t="str">
        <f>HYPERLINK("./new_k5/query_cmdrels_weight_analyze/0.4_0.3_0.3/au_430382.xlsx","au_430382")</f>
        <v>au_430382</v>
      </c>
      <c r="B127" s="2">
        <v>0</v>
      </c>
      <c r="C127" s="2">
        <v>0.25</v>
      </c>
      <c r="D127" s="2">
        <v>0</v>
      </c>
      <c r="E127" s="2">
        <v>0.5</v>
      </c>
      <c r="F127" s="2">
        <v>0</v>
      </c>
      <c r="G127" s="2">
        <v>0.5</v>
      </c>
    </row>
    <row r="128" spans="1:7" x14ac:dyDescent="0.25">
      <c r="A128" s="2" t="str">
        <f>HYPERLINK("./new_k5/query_cmdrels_weight_analyze/0.4_0.3_0.3/au_432836.xlsx","au_432836")</f>
        <v>au_432836</v>
      </c>
      <c r="B128" s="2">
        <v>0.14285714285714199</v>
      </c>
      <c r="C128" s="2">
        <v>0.14285714285714279</v>
      </c>
      <c r="D128" s="2">
        <v>0.14285714285714199</v>
      </c>
      <c r="E128" s="2">
        <v>0.2857142857142857</v>
      </c>
      <c r="F128" s="2">
        <v>0.14285714285714199</v>
      </c>
      <c r="G128" s="2">
        <v>0.2857142857142857</v>
      </c>
    </row>
    <row r="129" spans="1:7" x14ac:dyDescent="0.25">
      <c r="A129" s="2" t="str">
        <f>HYPERLINK("./new_k5/query_cmdrels_weight_analyze/0.4_0.3_0.3/au_440326.xlsx","au_440326")</f>
        <v>au_440326</v>
      </c>
      <c r="B129" s="2">
        <v>0</v>
      </c>
      <c r="C129" s="2">
        <v>0</v>
      </c>
      <c r="D129" s="2">
        <v>0.16666666666666599</v>
      </c>
      <c r="E129" s="2">
        <v>0.58333333333333326</v>
      </c>
      <c r="F129" s="2">
        <v>0.36666666666666597</v>
      </c>
      <c r="G129" s="2">
        <v>0.58333333333333326</v>
      </c>
    </row>
    <row r="130" spans="1:7" x14ac:dyDescent="0.25">
      <c r="A130" s="2" t="str">
        <f>HYPERLINK("./new_k5/query_cmdrels_weight_analyze/0.4_0.3_0.3/au_442914.xlsx","au_442914")</f>
        <v>au_442914</v>
      </c>
      <c r="B130" s="2">
        <v>0</v>
      </c>
      <c r="C130" s="2">
        <v>0</v>
      </c>
      <c r="D130" s="2">
        <v>0.11111111111111099</v>
      </c>
      <c r="E130" s="2">
        <v>0.1111111111111111</v>
      </c>
      <c r="F130" s="2">
        <v>0.11111111111111099</v>
      </c>
      <c r="G130" s="2">
        <v>0.1111111111111111</v>
      </c>
    </row>
    <row r="131" spans="1:7" x14ac:dyDescent="0.25">
      <c r="A131" s="2" t="str">
        <f>HYPERLINK("./new_k5/query_cmdrels_weight_analyze/0.4_0.3_0.3/au_443227.xlsx","au_443227")</f>
        <v>au_443227</v>
      </c>
      <c r="B131" s="2">
        <v>0</v>
      </c>
      <c r="C131" s="2">
        <v>0</v>
      </c>
      <c r="D131" s="2">
        <v>0.25</v>
      </c>
      <c r="E131" s="2">
        <v>0.16666666666666671</v>
      </c>
      <c r="F131" s="2">
        <v>0.25</v>
      </c>
      <c r="G131" s="2">
        <v>0.16666666666666671</v>
      </c>
    </row>
    <row r="132" spans="1:7" x14ac:dyDescent="0.25">
      <c r="A132" s="2" t="str">
        <f>HYPERLINK("./new_k5/query_cmdrels_weight_analyze/0.4_0.3_0.3/au_44534.xlsx","au_44534")</f>
        <v>au_44534</v>
      </c>
      <c r="B132" s="2">
        <v>0.5</v>
      </c>
      <c r="C132" s="2">
        <v>0</v>
      </c>
      <c r="D132" s="2">
        <v>0.5</v>
      </c>
      <c r="E132" s="2">
        <v>0.16666666666666671</v>
      </c>
      <c r="F132" s="2">
        <v>0.5</v>
      </c>
      <c r="G132" s="2">
        <v>0.16666666666666671</v>
      </c>
    </row>
    <row r="133" spans="1:7" x14ac:dyDescent="0.25">
      <c r="A133" s="2" t="str">
        <f>HYPERLINK("./new_k5/query_cmdrels_weight_analyze/0.4_0.3_0.3/au_451805.xlsx","au_451805")</f>
        <v>au_451805</v>
      </c>
      <c r="B133" s="2">
        <v>0</v>
      </c>
      <c r="C133" s="2">
        <v>0</v>
      </c>
      <c r="D133" s="2">
        <v>0</v>
      </c>
      <c r="E133" s="2">
        <v>0.16666666666666671</v>
      </c>
      <c r="F133" s="2">
        <v>0</v>
      </c>
      <c r="G133" s="2">
        <v>0.16666666666666671</v>
      </c>
    </row>
    <row r="134" spans="1:7" x14ac:dyDescent="0.25">
      <c r="A134" s="2" t="str">
        <f>HYPERLINK("./new_k5/query_cmdrels_weight_analyze/0.4_0.3_0.3/au_464264.xlsx","au_464264")</f>
        <v>au_464264</v>
      </c>
      <c r="B134" s="2">
        <v>0</v>
      </c>
      <c r="C134" s="2">
        <v>0</v>
      </c>
      <c r="D134" s="2">
        <v>0.233333333333333</v>
      </c>
      <c r="E134" s="2">
        <v>6.6666666666666666E-2</v>
      </c>
      <c r="F134" s="2">
        <v>0.543333333333333</v>
      </c>
      <c r="G134" s="2">
        <v>0.16666666666666671</v>
      </c>
    </row>
    <row r="135" spans="1:7" x14ac:dyDescent="0.25">
      <c r="A135" s="2" t="str">
        <f>HYPERLINK("./new_k5/query_cmdrels_weight_analyze/0.4_0.3_0.3/au_468808.xlsx","au_468808")</f>
        <v>au_468808</v>
      </c>
      <c r="B135" s="2">
        <v>0</v>
      </c>
      <c r="C135" s="2">
        <v>0</v>
      </c>
      <c r="D135" s="2">
        <v>6.6666666666666596E-2</v>
      </c>
      <c r="E135" s="2">
        <v>0.1</v>
      </c>
      <c r="F135" s="2">
        <v>0.28666666666666601</v>
      </c>
      <c r="G135" s="2">
        <v>0.18</v>
      </c>
    </row>
    <row r="136" spans="1:7" x14ac:dyDescent="0.25">
      <c r="A136" s="2" t="str">
        <f>HYPERLINK("./new_k5/query_cmdrels_weight_analyze/0.4_0.3_0.3/au_469143.xlsx","au_469143")</f>
        <v>au_469143</v>
      </c>
      <c r="B136" s="2">
        <v>0</v>
      </c>
      <c r="C136" s="2">
        <v>0.2</v>
      </c>
      <c r="D136" s="2">
        <v>0</v>
      </c>
      <c r="E136" s="2">
        <v>0.33333333333333331</v>
      </c>
      <c r="F136" s="2">
        <v>0</v>
      </c>
      <c r="G136" s="2">
        <v>0.45333333333333331</v>
      </c>
    </row>
    <row r="137" spans="1:7" x14ac:dyDescent="0.25">
      <c r="A137" s="2" t="str">
        <f>HYPERLINK("./new_k5/query_cmdrels_weight_analyze/0.4_0.3_0.3/au_470237.xlsx","au_470237")</f>
        <v>au_470237</v>
      </c>
      <c r="B137" s="2">
        <v>0</v>
      </c>
      <c r="C137" s="2">
        <v>0.2</v>
      </c>
      <c r="D137" s="2">
        <v>0.233333333333333</v>
      </c>
      <c r="E137" s="2">
        <v>0.33333333333333331</v>
      </c>
      <c r="F137" s="2">
        <v>0.38333333333333303</v>
      </c>
      <c r="G137" s="2">
        <v>0.33333333333333331</v>
      </c>
    </row>
    <row r="138" spans="1:7" x14ac:dyDescent="0.25">
      <c r="A138" s="2" t="str">
        <f>HYPERLINK("./new_k5/query_cmdrels_weight_analyze/0.4_0.3_0.3/au_473037.xlsx","au_473037")</f>
        <v>au_473037</v>
      </c>
      <c r="B138" s="2">
        <v>0</v>
      </c>
      <c r="C138" s="2">
        <v>0</v>
      </c>
      <c r="D138" s="2">
        <v>0</v>
      </c>
      <c r="E138" s="2">
        <v>0</v>
      </c>
      <c r="F138" s="2">
        <v>0.1</v>
      </c>
      <c r="G138" s="2">
        <v>0.125</v>
      </c>
    </row>
    <row r="139" spans="1:7" x14ac:dyDescent="0.25">
      <c r="A139" s="2" t="str">
        <f>HYPERLINK("./new_k5/query_cmdrels_weight_analyze/0.4_0.3_0.3/au_48362.xlsx","au_48362")</f>
        <v>au_48362</v>
      </c>
      <c r="B139" s="2">
        <v>0</v>
      </c>
      <c r="C139" s="2">
        <v>0.25</v>
      </c>
      <c r="D139" s="2">
        <v>0</v>
      </c>
      <c r="E139" s="2">
        <v>0.75</v>
      </c>
      <c r="F139" s="2">
        <v>0</v>
      </c>
      <c r="G139" s="2">
        <v>0.75</v>
      </c>
    </row>
    <row r="140" spans="1:7" x14ac:dyDescent="0.25">
      <c r="A140" s="2" t="str">
        <f>HYPERLINK("./new_k5/query_cmdrels_weight_analyze/0.4_0.3_0.3/au_488435.xlsx","au_488435")</f>
        <v>au_488435</v>
      </c>
      <c r="B140" s="2">
        <v>0</v>
      </c>
      <c r="C140" s="2">
        <v>0</v>
      </c>
      <c r="D140" s="2">
        <v>0</v>
      </c>
      <c r="E140" s="2">
        <v>0.125</v>
      </c>
      <c r="F140" s="2">
        <v>0</v>
      </c>
      <c r="G140" s="2">
        <v>0.125</v>
      </c>
    </row>
    <row r="141" spans="1:7" x14ac:dyDescent="0.25">
      <c r="A141" s="2" t="str">
        <f>HYPERLINK("./new_k5/query_cmdrels_weight_analyze/0.4_0.3_0.3/au_493826.xlsx","au_493826")</f>
        <v>au_493826</v>
      </c>
      <c r="B141" s="2">
        <v>0</v>
      </c>
      <c r="C141" s="2">
        <v>0.14285714285714279</v>
      </c>
      <c r="D141" s="2">
        <v>0</v>
      </c>
      <c r="E141" s="2">
        <v>0.2857142857142857</v>
      </c>
      <c r="F141" s="2">
        <v>9.2857142857142805E-2</v>
      </c>
      <c r="G141" s="2">
        <v>0.2857142857142857</v>
      </c>
    </row>
    <row r="142" spans="1:7" x14ac:dyDescent="0.25">
      <c r="A142" s="2" t="str">
        <f>HYPERLINK("./new_k5/query_cmdrels_weight_analyze/0.4_0.3_0.3/au_502110.xlsx","au_502110")</f>
        <v>au_502110</v>
      </c>
      <c r="B142" s="2">
        <v>1</v>
      </c>
      <c r="C142" s="2">
        <v>0</v>
      </c>
      <c r="D142" s="2">
        <v>1</v>
      </c>
      <c r="E142" s="2">
        <v>0.5</v>
      </c>
      <c r="F142" s="2">
        <v>1</v>
      </c>
      <c r="G142" s="2">
        <v>0.5</v>
      </c>
    </row>
    <row r="143" spans="1:7" x14ac:dyDescent="0.25">
      <c r="A143" s="2" t="str">
        <f>HYPERLINK("./new_k5/query_cmdrels_weight_analyze/0.4_0.3_0.3/au_50344.xlsx","au_50344")</f>
        <v>au_50344</v>
      </c>
      <c r="B143" s="2">
        <v>0</v>
      </c>
      <c r="C143" s="2">
        <v>0.25</v>
      </c>
      <c r="D143" s="2">
        <v>0</v>
      </c>
      <c r="E143" s="2">
        <v>0.25</v>
      </c>
      <c r="F143" s="2">
        <v>0</v>
      </c>
      <c r="G143" s="2">
        <v>0.25</v>
      </c>
    </row>
    <row r="144" spans="1:7" x14ac:dyDescent="0.25">
      <c r="A144" s="2" t="str">
        <f>HYPERLINK("./new_k5/query_cmdrels_weight_analyze/0.4_0.3_0.3/au_511467.xlsx","au_511467")</f>
        <v>au_511467</v>
      </c>
      <c r="B144" s="2">
        <v>0</v>
      </c>
      <c r="C144" s="2">
        <v>0.16666666666666671</v>
      </c>
      <c r="D144" s="2">
        <v>0</v>
      </c>
      <c r="E144" s="2">
        <v>0.33333333333333331</v>
      </c>
      <c r="F144" s="2">
        <v>4.1666666666666602E-2</v>
      </c>
      <c r="G144" s="2">
        <v>0.45833333333333331</v>
      </c>
    </row>
    <row r="145" spans="1:7" x14ac:dyDescent="0.25">
      <c r="A145" s="2" t="str">
        <f>HYPERLINK("./new_k5/query_cmdrels_weight_analyze/0.4_0.3_0.3/au_513046.xlsx","au_513046")</f>
        <v>au_513046</v>
      </c>
      <c r="B145" s="2">
        <v>0.25</v>
      </c>
      <c r="C145" s="2">
        <v>0</v>
      </c>
      <c r="D145" s="2">
        <v>0.25</v>
      </c>
      <c r="E145" s="2">
        <v>8.3333333333333329E-2</v>
      </c>
      <c r="F145" s="2">
        <v>0.375</v>
      </c>
      <c r="G145" s="2">
        <v>0.35833333333333328</v>
      </c>
    </row>
    <row r="146" spans="1:7" x14ac:dyDescent="0.25">
      <c r="A146" s="2" t="str">
        <f>HYPERLINK("./new_k5/query_cmdrels_weight_analyze/0.4_0.3_0.3/au_517354.xlsx","au_517354")</f>
        <v>au_517354</v>
      </c>
      <c r="B146" s="2">
        <v>0</v>
      </c>
      <c r="C146" s="2">
        <v>0.14285714285714279</v>
      </c>
      <c r="D146" s="2">
        <v>0</v>
      </c>
      <c r="E146" s="2">
        <v>0.23809523809523811</v>
      </c>
      <c r="F146" s="2">
        <v>3.5714285714285698E-2</v>
      </c>
      <c r="G146" s="2">
        <v>0.34523809523809518</v>
      </c>
    </row>
    <row r="147" spans="1:7" x14ac:dyDescent="0.25">
      <c r="A147" s="2" t="str">
        <f>HYPERLINK("./new_k5/query_cmdrels_weight_analyze/0.4_0.3_0.3/au_522431.xlsx","au_522431")</f>
        <v>au_522431</v>
      </c>
      <c r="B147" s="2">
        <v>0</v>
      </c>
      <c r="C147" s="2">
        <v>0</v>
      </c>
      <c r="D147" s="2">
        <v>0.1</v>
      </c>
      <c r="E147" s="2">
        <v>0.23333333333333331</v>
      </c>
      <c r="F147" s="2">
        <v>0.2</v>
      </c>
      <c r="G147" s="2">
        <v>0.3833333333333333</v>
      </c>
    </row>
    <row r="148" spans="1:7" x14ac:dyDescent="0.25">
      <c r="A148" s="2" t="str">
        <f>HYPERLINK("./new_k5/query_cmdrels_weight_analyze/0.4_0.3_0.3/au_52773.xlsx","au_52773")</f>
        <v>au_52773</v>
      </c>
      <c r="B148" s="2">
        <v>0</v>
      </c>
      <c r="C148" s="2">
        <v>0</v>
      </c>
      <c r="D148" s="2">
        <v>0</v>
      </c>
      <c r="E148" s="2">
        <v>0</v>
      </c>
      <c r="F148" s="2">
        <v>0.05</v>
      </c>
      <c r="G148" s="2">
        <v>0.05</v>
      </c>
    </row>
    <row r="149" spans="1:7" x14ac:dyDescent="0.25">
      <c r="A149" s="2" t="str">
        <f>HYPERLINK("./new_k5/query_cmdrels_weight_analyze/0.4_0.3_0.3/au_528411.xlsx","au_528411")</f>
        <v>au_528411</v>
      </c>
      <c r="B149" s="2">
        <v>0</v>
      </c>
      <c r="C149" s="2">
        <v>0</v>
      </c>
      <c r="D149" s="2">
        <v>0.25</v>
      </c>
      <c r="E149" s="2">
        <v>0.25</v>
      </c>
      <c r="F149" s="2">
        <v>0.25</v>
      </c>
      <c r="G149" s="2">
        <v>0.25</v>
      </c>
    </row>
    <row r="150" spans="1:7" x14ac:dyDescent="0.25">
      <c r="A150" s="2" t="str">
        <f>HYPERLINK("./new_k5/query_cmdrels_weight_analyze/0.4_0.3_0.3/au_53263.xlsx","au_53263")</f>
        <v>au_53263</v>
      </c>
      <c r="B150" s="2">
        <v>0</v>
      </c>
      <c r="C150" s="2">
        <v>0.25</v>
      </c>
      <c r="D150" s="2">
        <v>0.125</v>
      </c>
      <c r="E150" s="2">
        <v>0.75</v>
      </c>
      <c r="F150" s="2">
        <v>0.22500000000000001</v>
      </c>
      <c r="G150" s="2">
        <v>1</v>
      </c>
    </row>
    <row r="151" spans="1:7" x14ac:dyDescent="0.25">
      <c r="A151" s="2" t="str">
        <f>HYPERLINK("./new_k5/query_cmdrels_weight_analyze/0.4_0.3_0.3/au_53444.xlsx","au_53444")</f>
        <v>au_53444</v>
      </c>
      <c r="B151" s="2">
        <v>0.5</v>
      </c>
      <c r="C151" s="2">
        <v>0</v>
      </c>
      <c r="D151" s="2">
        <v>0.5</v>
      </c>
      <c r="E151" s="2">
        <v>0.16666666666666671</v>
      </c>
      <c r="F151" s="2">
        <v>0.5</v>
      </c>
      <c r="G151" s="2">
        <v>0.16666666666666671</v>
      </c>
    </row>
    <row r="152" spans="1:7" x14ac:dyDescent="0.25">
      <c r="A152" s="2" t="str">
        <f>HYPERLINK("./new_k5/query_cmdrels_weight_analyze/0.4_0.3_0.3/au_538208.xlsx","au_538208")</f>
        <v>au_538208</v>
      </c>
      <c r="B152" s="2">
        <v>0</v>
      </c>
      <c r="C152" s="2">
        <v>0.125</v>
      </c>
      <c r="D152" s="2">
        <v>0</v>
      </c>
      <c r="E152" s="2">
        <v>0.25</v>
      </c>
      <c r="F152" s="2">
        <v>0</v>
      </c>
      <c r="G152" s="2">
        <v>0.44374999999999998</v>
      </c>
    </row>
    <row r="153" spans="1:7" x14ac:dyDescent="0.25">
      <c r="A153" s="2" t="str">
        <f>HYPERLINK("./new_k5/query_cmdrels_weight_analyze/0.4_0.3_0.3/au_53822.xlsx","au_53822")</f>
        <v>au_53822</v>
      </c>
      <c r="B153" s="2">
        <v>0</v>
      </c>
      <c r="C153" s="2">
        <v>1</v>
      </c>
      <c r="D153" s="2">
        <v>0</v>
      </c>
      <c r="E153" s="2">
        <v>1</v>
      </c>
      <c r="F153" s="2">
        <v>0</v>
      </c>
      <c r="G153" s="2">
        <v>1</v>
      </c>
    </row>
    <row r="154" spans="1:7" x14ac:dyDescent="0.25">
      <c r="A154" s="2" t="str">
        <f>HYPERLINK("./new_k5/query_cmdrels_weight_analyze/0.4_0.3_0.3/au_539243.xlsx","au_539243")</f>
        <v>au_539243</v>
      </c>
      <c r="B154" s="2">
        <v>0.33333333333333298</v>
      </c>
      <c r="C154" s="2">
        <v>0</v>
      </c>
      <c r="D154" s="2">
        <v>0.55555555555555503</v>
      </c>
      <c r="E154" s="2">
        <v>0.16666666666666671</v>
      </c>
      <c r="F154" s="2">
        <v>0.55555555555555503</v>
      </c>
      <c r="G154" s="2">
        <v>0.33333333333333331</v>
      </c>
    </row>
    <row r="155" spans="1:7" x14ac:dyDescent="0.25">
      <c r="A155" s="2" t="str">
        <f>HYPERLINK("./new_k5/query_cmdrels_weight_analyze/0.4_0.3_0.3/au_558280.xlsx","au_558280")</f>
        <v>au_558280</v>
      </c>
      <c r="B155" s="2">
        <v>0</v>
      </c>
      <c r="C155" s="2">
        <v>0</v>
      </c>
      <c r="D155" s="2">
        <v>0</v>
      </c>
      <c r="E155" s="2">
        <v>0.38888888888888878</v>
      </c>
      <c r="F155" s="2">
        <v>6.6666666666666596E-2</v>
      </c>
      <c r="G155" s="2">
        <v>0.58888888888888891</v>
      </c>
    </row>
    <row r="156" spans="1:7" x14ac:dyDescent="0.25">
      <c r="A156" s="2" t="str">
        <f>HYPERLINK("./new_k5/query_cmdrels_weight_analyze/0.4_0.3_0.3/au_558669.xlsx","au_558669")</f>
        <v>au_558669</v>
      </c>
      <c r="B156" s="2">
        <v>0</v>
      </c>
      <c r="C156" s="2">
        <v>1</v>
      </c>
      <c r="D156" s="2">
        <v>0</v>
      </c>
      <c r="E156" s="2">
        <v>1</v>
      </c>
      <c r="F156" s="2">
        <v>0</v>
      </c>
      <c r="G156" s="2">
        <v>1</v>
      </c>
    </row>
    <row r="157" spans="1:7" x14ac:dyDescent="0.25">
      <c r="A157" s="2" t="str">
        <f>HYPERLINK("./new_k5/query_cmdrels_weight_analyze/0.4_0.3_0.3/au_55868.xlsx","au_55868")</f>
        <v>au_55868</v>
      </c>
      <c r="B157" s="2">
        <v>0</v>
      </c>
      <c r="C157" s="2">
        <v>0</v>
      </c>
      <c r="D157" s="2">
        <v>0</v>
      </c>
      <c r="E157" s="2">
        <v>0.12962962962962959</v>
      </c>
      <c r="F157" s="2">
        <v>0</v>
      </c>
      <c r="G157" s="2">
        <v>0.30185185185185193</v>
      </c>
    </row>
    <row r="158" spans="1:7" x14ac:dyDescent="0.25">
      <c r="A158" s="2" t="str">
        <f>HYPERLINK("./new_k5/query_cmdrels_weight_analyze/0.4_0.3_0.3/au_561.xlsx","au_561")</f>
        <v>au_561</v>
      </c>
      <c r="B158" s="2">
        <v>0</v>
      </c>
      <c r="C158" s="2">
        <v>0.25</v>
      </c>
      <c r="D158" s="2">
        <v>0.125</v>
      </c>
      <c r="E158" s="2">
        <v>0.5</v>
      </c>
      <c r="F158" s="2">
        <v>0.125</v>
      </c>
      <c r="G158" s="2">
        <v>0.5</v>
      </c>
    </row>
    <row r="159" spans="1:7" x14ac:dyDescent="0.25">
      <c r="A159" s="2" t="str">
        <f>HYPERLINK("./new_k5/query_cmdrels_weight_analyze/0.4_0.3_0.3/au_564567.xlsx","au_564567")</f>
        <v>au_564567</v>
      </c>
      <c r="B159" s="2">
        <v>1</v>
      </c>
      <c r="C159" s="2">
        <v>1</v>
      </c>
      <c r="D159" s="2">
        <v>1</v>
      </c>
      <c r="E159" s="2">
        <v>1</v>
      </c>
      <c r="F159" s="2">
        <v>1</v>
      </c>
      <c r="G159" s="2">
        <v>1</v>
      </c>
    </row>
    <row r="160" spans="1:7" x14ac:dyDescent="0.25">
      <c r="A160" s="2" t="str">
        <f>HYPERLINK("./new_k5/query_cmdrels_weight_analyze/0.4_0.3_0.3/au_57994.xlsx","au_57994")</f>
        <v>au_57994</v>
      </c>
      <c r="B160" s="2">
        <v>0</v>
      </c>
      <c r="C160" s="2">
        <v>0.14285714285714279</v>
      </c>
      <c r="D160" s="2">
        <v>7.1428571428571397E-2</v>
      </c>
      <c r="E160" s="2">
        <v>0.42857142857142849</v>
      </c>
      <c r="F160" s="2">
        <v>7.1428571428571397E-2</v>
      </c>
      <c r="G160" s="2">
        <v>0.5714285714285714</v>
      </c>
    </row>
    <row r="161" spans="1:7" x14ac:dyDescent="0.25">
      <c r="A161" s="2" t="str">
        <f>HYPERLINK("./new_k5/query_cmdrels_weight_analyze/0.4_0.3_0.3/au_589210.xlsx","au_589210")</f>
        <v>au_589210</v>
      </c>
      <c r="B161" s="2">
        <v>0.25</v>
      </c>
      <c r="C161" s="2">
        <v>0.25</v>
      </c>
      <c r="D161" s="2">
        <v>0.5</v>
      </c>
      <c r="E161" s="2">
        <v>0.25</v>
      </c>
      <c r="F161" s="2">
        <v>0.5</v>
      </c>
      <c r="G161" s="2">
        <v>0.375</v>
      </c>
    </row>
    <row r="162" spans="1:7" x14ac:dyDescent="0.25">
      <c r="A162" s="2" t="str">
        <f>HYPERLINK("./new_k5/query_cmdrels_weight_analyze/0.4_0.3_0.3/au_5911.xlsx","au_5911")</f>
        <v>au_5911</v>
      </c>
      <c r="B162" s="2">
        <v>0</v>
      </c>
      <c r="C162" s="2">
        <v>1</v>
      </c>
      <c r="D162" s="2">
        <v>0</v>
      </c>
      <c r="E162" s="2">
        <v>1</v>
      </c>
      <c r="F162" s="2">
        <v>0</v>
      </c>
      <c r="G162" s="2">
        <v>1</v>
      </c>
    </row>
    <row r="163" spans="1:7" x14ac:dyDescent="0.25">
      <c r="A163" s="2" t="str">
        <f>HYPERLINK("./new_k5/query_cmdrels_weight_analyze/0.4_0.3_0.3/au_59356.xlsx","au_59356")</f>
        <v>au_59356</v>
      </c>
      <c r="B163" s="2">
        <v>0</v>
      </c>
      <c r="C163" s="2">
        <v>0</v>
      </c>
      <c r="D163" s="2">
        <v>0</v>
      </c>
      <c r="E163" s="2">
        <v>0</v>
      </c>
      <c r="F163" s="2">
        <v>0</v>
      </c>
      <c r="G163" s="2">
        <v>0</v>
      </c>
    </row>
    <row r="164" spans="1:7" x14ac:dyDescent="0.25">
      <c r="A164" s="2" t="str">
        <f>HYPERLINK("./new_k5/query_cmdrels_weight_analyze/0.4_0.3_0.3/au_609850.xlsx","au_609850")</f>
        <v>au_609850</v>
      </c>
      <c r="B164" s="2">
        <v>0</v>
      </c>
      <c r="C164" s="2">
        <v>0</v>
      </c>
      <c r="D164" s="2">
        <v>0</v>
      </c>
      <c r="E164" s="2">
        <v>0.25</v>
      </c>
      <c r="F164" s="2">
        <v>0</v>
      </c>
      <c r="G164" s="2">
        <v>0.25</v>
      </c>
    </row>
    <row r="165" spans="1:7" x14ac:dyDescent="0.25">
      <c r="A165" s="2" t="str">
        <f>HYPERLINK("./new_k5/query_cmdrels_weight_analyze/0.4_0.3_0.3/au_61408.xlsx","au_61408")</f>
        <v>au_61408</v>
      </c>
      <c r="B165" s="2">
        <v>0.33333333333333298</v>
      </c>
      <c r="C165" s="2">
        <v>0.33333333333333331</v>
      </c>
      <c r="D165" s="2">
        <v>0.33333333333333298</v>
      </c>
      <c r="E165" s="2">
        <v>0.55555555555555547</v>
      </c>
      <c r="F165" s="2">
        <v>0.33333333333333298</v>
      </c>
      <c r="G165" s="2">
        <v>0.55555555555555547</v>
      </c>
    </row>
    <row r="166" spans="1:7" x14ac:dyDescent="0.25">
      <c r="A166" s="2" t="str">
        <f>HYPERLINK("./new_k5/query_cmdrels_weight_analyze/0.4_0.3_0.3/au_617850.xlsx","au_617850")</f>
        <v>au_617850</v>
      </c>
      <c r="B166" s="2">
        <v>0.33333333333333298</v>
      </c>
      <c r="C166" s="2">
        <v>0.33333333333333331</v>
      </c>
      <c r="D166" s="2">
        <v>0.33333333333333298</v>
      </c>
      <c r="E166" s="2">
        <v>0.66666666666666663</v>
      </c>
      <c r="F166" s="2">
        <v>0.46666666666666601</v>
      </c>
      <c r="G166" s="2">
        <v>0.91666666666666663</v>
      </c>
    </row>
    <row r="167" spans="1:7" x14ac:dyDescent="0.25">
      <c r="A167" s="2" t="str">
        <f>HYPERLINK("./new_k5/query_cmdrels_weight_analyze/0.4_0.3_0.3/au_62073.xlsx","au_62073")</f>
        <v>au_62073</v>
      </c>
      <c r="B167" s="2">
        <v>0</v>
      </c>
      <c r="C167" s="2">
        <v>0.2</v>
      </c>
      <c r="D167" s="2">
        <v>0</v>
      </c>
      <c r="E167" s="2">
        <v>0.4</v>
      </c>
      <c r="F167" s="2">
        <v>0</v>
      </c>
      <c r="G167" s="2">
        <v>0.71</v>
      </c>
    </row>
    <row r="168" spans="1:7" x14ac:dyDescent="0.25">
      <c r="A168" s="2" t="str">
        <f>HYPERLINK("./new_k5/query_cmdrels_weight_analyze/0.4_0.3_0.3/au_620930.xlsx","au_620930")</f>
        <v>au_620930</v>
      </c>
      <c r="B168" s="2">
        <v>0.2</v>
      </c>
      <c r="C168" s="2">
        <v>0.2</v>
      </c>
      <c r="D168" s="2">
        <v>0.2</v>
      </c>
      <c r="E168" s="2">
        <v>0.33333333333333331</v>
      </c>
      <c r="F168" s="2">
        <v>0.2</v>
      </c>
      <c r="G168" s="2">
        <v>0.48333333333333328</v>
      </c>
    </row>
    <row r="169" spans="1:7" x14ac:dyDescent="0.25">
      <c r="A169" s="2" t="str">
        <f>HYPERLINK("./new_k5/query_cmdrels_weight_analyze/0.4_0.3_0.3/au_62492.xlsx","au_62492")</f>
        <v>au_62492</v>
      </c>
      <c r="B169" s="2">
        <v>0.2</v>
      </c>
      <c r="C169" s="2">
        <v>0.2</v>
      </c>
      <c r="D169" s="2">
        <v>0.4</v>
      </c>
      <c r="E169" s="2">
        <v>0.4</v>
      </c>
      <c r="F169" s="2">
        <v>0.4</v>
      </c>
      <c r="G169" s="2">
        <v>0.71</v>
      </c>
    </row>
    <row r="170" spans="1:7" x14ac:dyDescent="0.25">
      <c r="A170" s="2" t="str">
        <f>HYPERLINK("./new_k5/query_cmdrels_weight_analyze/0.4_0.3_0.3/au_626078.xlsx","au_626078")</f>
        <v>au_626078</v>
      </c>
      <c r="B170" s="2">
        <v>0</v>
      </c>
      <c r="C170" s="2">
        <v>0</v>
      </c>
      <c r="D170" s="2">
        <v>0</v>
      </c>
      <c r="E170" s="2">
        <v>0</v>
      </c>
      <c r="F170" s="2">
        <v>0</v>
      </c>
      <c r="G170" s="2">
        <v>0</v>
      </c>
    </row>
    <row r="171" spans="1:7" x14ac:dyDescent="0.25">
      <c r="A171" s="2" t="str">
        <f>HYPERLINK("./new_k5/query_cmdrels_weight_analyze/0.4_0.3_0.3/au_636944.xlsx","au_636944")</f>
        <v>au_636944</v>
      </c>
      <c r="B171" s="2">
        <v>0</v>
      </c>
      <c r="C171" s="2">
        <v>0</v>
      </c>
      <c r="D171" s="2">
        <v>0</v>
      </c>
      <c r="E171" s="2">
        <v>0.16666666666666671</v>
      </c>
      <c r="F171" s="2">
        <v>0</v>
      </c>
      <c r="G171" s="2">
        <v>0.16666666666666671</v>
      </c>
    </row>
    <row r="172" spans="1:7" x14ac:dyDescent="0.25">
      <c r="A172" s="2" t="str">
        <f>HYPERLINK("./new_k5/query_cmdrels_weight_analyze/0.4_0.3_0.3/au_648603.xlsx","au_648603")</f>
        <v>au_648603</v>
      </c>
      <c r="B172" s="2">
        <v>0.25</v>
      </c>
      <c r="C172" s="2">
        <v>0.25</v>
      </c>
      <c r="D172" s="2">
        <v>0.25</v>
      </c>
      <c r="E172" s="2">
        <v>0.25</v>
      </c>
      <c r="F172" s="2">
        <v>0.25</v>
      </c>
      <c r="G172" s="2">
        <v>0.52500000000000002</v>
      </c>
    </row>
    <row r="173" spans="1:7" x14ac:dyDescent="0.25">
      <c r="A173" s="2" t="str">
        <f>HYPERLINK("./new_k5/query_cmdrels_weight_analyze/0.4_0.3_0.3/au_65331.xlsx","au_65331")</f>
        <v>au_65331</v>
      </c>
      <c r="B173" s="2">
        <v>0.16666666666666599</v>
      </c>
      <c r="C173" s="2">
        <v>0.16666666666666671</v>
      </c>
      <c r="D173" s="2">
        <v>0.16666666666666599</v>
      </c>
      <c r="E173" s="2">
        <v>0.27777777777777768</v>
      </c>
      <c r="F173" s="2">
        <v>0.16666666666666599</v>
      </c>
      <c r="G173" s="2">
        <v>0.37777777777777782</v>
      </c>
    </row>
    <row r="174" spans="1:7" x14ac:dyDescent="0.25">
      <c r="A174" s="2" t="str">
        <f>HYPERLINK("./new_k5/query_cmdrels_weight_analyze/0.4_0.3_0.3/au_66000.xlsx","au_66000")</f>
        <v>au_66000</v>
      </c>
      <c r="B174" s="2">
        <v>0</v>
      </c>
      <c r="C174" s="2">
        <v>0.2</v>
      </c>
      <c r="D174" s="2">
        <v>0</v>
      </c>
      <c r="E174" s="2">
        <v>0.33333333333333331</v>
      </c>
      <c r="F174" s="2">
        <v>0</v>
      </c>
      <c r="G174" s="2">
        <v>0.64333333333333331</v>
      </c>
    </row>
    <row r="175" spans="1:7" x14ac:dyDescent="0.25">
      <c r="A175" s="2" t="str">
        <f>HYPERLINK("./new_k5/query_cmdrels_weight_analyze/0.4_0.3_0.3/au_660846.xlsx","au_660846")</f>
        <v>au_660846</v>
      </c>
      <c r="B175" s="2">
        <v>0.25</v>
      </c>
      <c r="C175" s="2">
        <v>0.25</v>
      </c>
      <c r="D175" s="2">
        <v>0.41666666666666602</v>
      </c>
      <c r="E175" s="2">
        <v>0.75</v>
      </c>
      <c r="F175" s="2">
        <v>0.41666666666666602</v>
      </c>
      <c r="G175" s="2">
        <v>1</v>
      </c>
    </row>
    <row r="176" spans="1:7" x14ac:dyDescent="0.25">
      <c r="A176" s="2" t="str">
        <f>HYPERLINK("./new_k5/query_cmdrels_weight_analyze/0.4_0.3_0.3/au_662935.xlsx","au_662935")</f>
        <v>au_662935</v>
      </c>
      <c r="B176" s="2">
        <v>0</v>
      </c>
      <c r="C176" s="2">
        <v>0.125</v>
      </c>
      <c r="D176" s="2">
        <v>4.1666666666666602E-2</v>
      </c>
      <c r="E176" s="2">
        <v>0.375</v>
      </c>
      <c r="F176" s="2">
        <v>0.179166666666666</v>
      </c>
      <c r="G176" s="2">
        <v>0.375</v>
      </c>
    </row>
    <row r="177" spans="1:7" x14ac:dyDescent="0.25">
      <c r="A177" s="2" t="str">
        <f>HYPERLINK("./new_k5/query_cmdrels_weight_analyze/0.4_0.3_0.3/au_67663.xlsx","au_67663")</f>
        <v>au_67663</v>
      </c>
      <c r="B177" s="2">
        <v>0</v>
      </c>
      <c r="C177" s="2">
        <v>0.25</v>
      </c>
      <c r="D177" s="2">
        <v>0</v>
      </c>
      <c r="E177" s="2">
        <v>0.75</v>
      </c>
      <c r="F177" s="2">
        <v>0</v>
      </c>
      <c r="G177" s="2">
        <v>0.75</v>
      </c>
    </row>
    <row r="178" spans="1:7" x14ac:dyDescent="0.25">
      <c r="A178" s="2" t="str">
        <f>HYPERLINK("./new_k5/query_cmdrels_weight_analyze/0.4_0.3_0.3/au_68028.xlsx","au_68028")</f>
        <v>au_68028</v>
      </c>
      <c r="B178" s="2">
        <v>0</v>
      </c>
      <c r="C178" s="2">
        <v>0.14285714285714279</v>
      </c>
      <c r="D178" s="2">
        <v>0</v>
      </c>
      <c r="E178" s="2">
        <v>0.2857142857142857</v>
      </c>
      <c r="F178" s="2">
        <v>0</v>
      </c>
      <c r="G178" s="2">
        <v>0.39285714285714279</v>
      </c>
    </row>
    <row r="179" spans="1:7" x14ac:dyDescent="0.25">
      <c r="A179" s="2" t="str">
        <f>HYPERLINK("./new_k5/query_cmdrels_weight_analyze/0.4_0.3_0.3/au_681312.xlsx","au_681312")</f>
        <v>au_681312</v>
      </c>
      <c r="B179" s="2">
        <v>0</v>
      </c>
      <c r="C179" s="2">
        <v>0.14285714285714279</v>
      </c>
      <c r="D179" s="2">
        <v>4.7619047619047603E-2</v>
      </c>
      <c r="E179" s="2">
        <v>0.42857142857142849</v>
      </c>
      <c r="F179" s="2">
        <v>0.20476190476190401</v>
      </c>
      <c r="G179" s="2">
        <v>0.54285714285714282</v>
      </c>
    </row>
    <row r="180" spans="1:7" x14ac:dyDescent="0.25">
      <c r="A180" s="2" t="str">
        <f>HYPERLINK("./new_k5/query_cmdrels_weight_analyze/0.4_0.3_0.3/au_686239.xlsx","au_686239")</f>
        <v>au_686239</v>
      </c>
      <c r="B180" s="2">
        <v>0</v>
      </c>
      <c r="C180" s="2">
        <v>0</v>
      </c>
      <c r="D180" s="2">
        <v>0</v>
      </c>
      <c r="E180" s="2">
        <v>0</v>
      </c>
      <c r="F180" s="2">
        <v>0</v>
      </c>
      <c r="G180" s="2">
        <v>0.2</v>
      </c>
    </row>
    <row r="181" spans="1:7" x14ac:dyDescent="0.25">
      <c r="A181" s="2" t="str">
        <f>HYPERLINK("./new_k5/query_cmdrels_weight_analyze/0.4_0.3_0.3/au_68809.xlsx","au_68809")</f>
        <v>au_68809</v>
      </c>
      <c r="B181" s="2">
        <v>0</v>
      </c>
      <c r="C181" s="2">
        <v>0.125</v>
      </c>
      <c r="D181" s="2">
        <v>4.1666666666666602E-2</v>
      </c>
      <c r="E181" s="2">
        <v>0.125</v>
      </c>
      <c r="F181" s="2">
        <v>9.1666666666666605E-2</v>
      </c>
      <c r="G181" s="2">
        <v>0.1875</v>
      </c>
    </row>
    <row r="182" spans="1:7" x14ac:dyDescent="0.25">
      <c r="A182" s="2" t="str">
        <f>HYPERLINK("./new_k5/query_cmdrels_weight_analyze/0.4_0.3_0.3/au_69556.xlsx","au_69556")</f>
        <v>au_69556</v>
      </c>
      <c r="B182" s="2">
        <v>0</v>
      </c>
      <c r="C182" s="2">
        <v>0</v>
      </c>
      <c r="D182" s="2">
        <v>0</v>
      </c>
      <c r="E182" s="2">
        <v>0</v>
      </c>
      <c r="F182" s="2">
        <v>0</v>
      </c>
      <c r="G182" s="2">
        <v>0</v>
      </c>
    </row>
    <row r="183" spans="1:7" x14ac:dyDescent="0.25">
      <c r="A183" s="2" t="str">
        <f>HYPERLINK("./new_k5/query_cmdrels_weight_analyze/0.4_0.3_0.3/au_698993.xlsx","au_698993")</f>
        <v>au_698993</v>
      </c>
      <c r="B183" s="2">
        <v>0</v>
      </c>
      <c r="C183" s="2">
        <v>0.16666666666666671</v>
      </c>
      <c r="D183" s="2">
        <v>0.194444444444444</v>
      </c>
      <c r="E183" s="2">
        <v>0.5</v>
      </c>
      <c r="F183" s="2">
        <v>0.194444444444444</v>
      </c>
      <c r="G183" s="2">
        <v>0.6333333333333333</v>
      </c>
    </row>
    <row r="184" spans="1:7" x14ac:dyDescent="0.25">
      <c r="A184" s="2" t="str">
        <f>HYPERLINK("./new_k5/query_cmdrels_weight_analyze/0.4_0.3_0.3/au_707881.xlsx","au_707881")</f>
        <v>au_707881</v>
      </c>
      <c r="B184" s="2">
        <v>0.16666666666666599</v>
      </c>
      <c r="C184" s="2">
        <v>0.16666666666666671</v>
      </c>
      <c r="D184" s="2">
        <v>0.33333333333333298</v>
      </c>
      <c r="E184" s="2">
        <v>0.16666666666666671</v>
      </c>
      <c r="F184" s="2">
        <v>0.33333333333333298</v>
      </c>
      <c r="G184" s="2">
        <v>0.23333333333333331</v>
      </c>
    </row>
    <row r="185" spans="1:7" x14ac:dyDescent="0.25">
      <c r="A185" s="2" t="str">
        <f>HYPERLINK("./new_k5/query_cmdrels_weight_analyze/0.4_0.3_0.3/au_709594.xlsx","au_709594")</f>
        <v>au_709594</v>
      </c>
      <c r="B185" s="2">
        <v>0</v>
      </c>
      <c r="C185" s="2">
        <v>0</v>
      </c>
      <c r="D185" s="2">
        <v>0</v>
      </c>
      <c r="E185" s="2">
        <v>0</v>
      </c>
      <c r="F185" s="2">
        <v>0</v>
      </c>
      <c r="G185" s="2">
        <v>0</v>
      </c>
    </row>
    <row r="186" spans="1:7" x14ac:dyDescent="0.25">
      <c r="A186" s="2" t="str">
        <f>HYPERLINK("./new_k5/query_cmdrels_weight_analyze/0.4_0.3_0.3/au_71309.xlsx","au_71309")</f>
        <v>au_71309</v>
      </c>
      <c r="B186" s="2">
        <v>0</v>
      </c>
      <c r="C186" s="2">
        <v>0.125</v>
      </c>
      <c r="D186" s="2">
        <v>0</v>
      </c>
      <c r="E186" s="2">
        <v>0.20833333333333329</v>
      </c>
      <c r="F186" s="2">
        <v>0</v>
      </c>
      <c r="G186" s="2">
        <v>0.30208333333333331</v>
      </c>
    </row>
    <row r="187" spans="1:7" x14ac:dyDescent="0.25">
      <c r="A187" s="2" t="str">
        <f>HYPERLINK("./new_k5/query_cmdrels_weight_analyze/0.4_0.3_0.3/au_7138.xlsx","au_7138")</f>
        <v>au_7138</v>
      </c>
      <c r="B187" s="2">
        <v>0</v>
      </c>
      <c r="C187" s="2">
        <v>0</v>
      </c>
      <c r="D187" s="2">
        <v>0.125</v>
      </c>
      <c r="E187" s="2">
        <v>8.3333333333333329E-2</v>
      </c>
      <c r="F187" s="2">
        <v>0.125</v>
      </c>
      <c r="G187" s="2">
        <v>8.3333333333333329E-2</v>
      </c>
    </row>
    <row r="188" spans="1:7" x14ac:dyDescent="0.25">
      <c r="A188" s="2" t="str">
        <f>HYPERLINK("./new_k5/query_cmdrels_weight_analyze/0.4_0.3_0.3/au_72549.xlsx","au_72549")</f>
        <v>au_72549</v>
      </c>
      <c r="B188" s="2">
        <v>0</v>
      </c>
      <c r="C188" s="2">
        <v>0</v>
      </c>
      <c r="D188" s="2">
        <v>0.125</v>
      </c>
      <c r="E188" s="2">
        <v>8.3333333333333329E-2</v>
      </c>
      <c r="F188" s="2">
        <v>0.125</v>
      </c>
      <c r="G188" s="2">
        <v>8.3333333333333329E-2</v>
      </c>
    </row>
    <row r="189" spans="1:7" x14ac:dyDescent="0.25">
      <c r="A189" s="2" t="str">
        <f>HYPERLINK("./new_k5/query_cmdrels_weight_analyze/0.4_0.3_0.3/au_740805.xlsx","au_740805")</f>
        <v>au_740805</v>
      </c>
      <c r="B189" s="2">
        <v>0.25</v>
      </c>
      <c r="C189" s="2">
        <v>0</v>
      </c>
      <c r="D189" s="2">
        <v>0.25</v>
      </c>
      <c r="E189" s="2">
        <v>0.125</v>
      </c>
      <c r="F189" s="2">
        <v>0.375</v>
      </c>
      <c r="G189" s="2">
        <v>0.22500000000000001</v>
      </c>
    </row>
    <row r="190" spans="1:7" x14ac:dyDescent="0.25">
      <c r="A190" s="2" t="str">
        <f>HYPERLINK("./new_k5/query_cmdrels_weight_analyze/0.4_0.3_0.3/au_760796.xlsx","au_760796")</f>
        <v>au_760796</v>
      </c>
      <c r="B190" s="2">
        <v>0</v>
      </c>
      <c r="C190" s="2">
        <v>0.1</v>
      </c>
      <c r="D190" s="2">
        <v>0</v>
      </c>
      <c r="E190" s="2">
        <v>0.3</v>
      </c>
      <c r="F190" s="2">
        <v>2.5000000000000001E-2</v>
      </c>
      <c r="G190" s="2">
        <v>0.5</v>
      </c>
    </row>
    <row r="191" spans="1:7" x14ac:dyDescent="0.25">
      <c r="A191" s="2" t="str">
        <f>HYPERLINK("./new_k5/query_cmdrels_weight_analyze/0.4_0.3_0.3/au_762846.xlsx","au_762846")</f>
        <v>au_762846</v>
      </c>
      <c r="B191" s="2">
        <v>0</v>
      </c>
      <c r="C191" s="2">
        <v>0.16666666666666671</v>
      </c>
      <c r="D191" s="2">
        <v>0</v>
      </c>
      <c r="E191" s="2">
        <v>0.33333333333333331</v>
      </c>
      <c r="F191" s="2">
        <v>3.3333333333333298E-2</v>
      </c>
      <c r="G191" s="2">
        <v>0.43333333333333329</v>
      </c>
    </row>
    <row r="192" spans="1:7" x14ac:dyDescent="0.25">
      <c r="A192" s="2" t="str">
        <f>HYPERLINK("./new_k5/query_cmdrels_weight_analyze/0.4_0.3_0.3/au_767786.xlsx","au_767786")</f>
        <v>au_767786</v>
      </c>
      <c r="B192" s="2">
        <v>0</v>
      </c>
      <c r="C192" s="2">
        <v>0.2</v>
      </c>
      <c r="D192" s="2">
        <v>0</v>
      </c>
      <c r="E192" s="2">
        <v>0.6</v>
      </c>
      <c r="F192" s="2">
        <v>0.04</v>
      </c>
      <c r="G192" s="2">
        <v>0.8</v>
      </c>
    </row>
    <row r="193" spans="1:7" x14ac:dyDescent="0.25">
      <c r="A193" s="2" t="str">
        <f>HYPERLINK("./new_k5/query_cmdrels_weight_analyze/0.4_0.3_0.3/au_778906.xlsx","au_778906")</f>
        <v>au_778906</v>
      </c>
      <c r="B193" s="2">
        <v>0</v>
      </c>
      <c r="C193" s="2">
        <v>0.2</v>
      </c>
      <c r="D193" s="2">
        <v>0</v>
      </c>
      <c r="E193" s="2">
        <v>0.6</v>
      </c>
      <c r="F193" s="2">
        <v>0.04</v>
      </c>
      <c r="G193" s="2">
        <v>0.6</v>
      </c>
    </row>
    <row r="194" spans="1:7" x14ac:dyDescent="0.25">
      <c r="A194" s="2" t="str">
        <f>HYPERLINK("./new_k5/query_cmdrels_weight_analyze/0.4_0.3_0.3/au_818929.xlsx","au_818929")</f>
        <v>au_818929</v>
      </c>
      <c r="B194" s="2">
        <v>0.2</v>
      </c>
      <c r="C194" s="2">
        <v>0.2</v>
      </c>
      <c r="D194" s="2">
        <v>0.2</v>
      </c>
      <c r="E194" s="2">
        <v>0.2</v>
      </c>
      <c r="F194" s="2">
        <v>0.27999999999999903</v>
      </c>
      <c r="G194" s="2">
        <v>0.42</v>
      </c>
    </row>
    <row r="195" spans="1:7" x14ac:dyDescent="0.25">
      <c r="A195" s="2" t="str">
        <f>HYPERLINK("./new_k5/query_cmdrels_weight_analyze/0.4_0.3_0.3/au_844876.xlsx","au_844876")</f>
        <v>au_844876</v>
      </c>
      <c r="B195" s="2">
        <v>0.5</v>
      </c>
      <c r="C195" s="2">
        <v>0.5</v>
      </c>
      <c r="D195" s="2">
        <v>0.5</v>
      </c>
      <c r="E195" s="2">
        <v>1</v>
      </c>
      <c r="F195" s="2">
        <v>0.5</v>
      </c>
      <c r="G195" s="2">
        <v>1</v>
      </c>
    </row>
    <row r="196" spans="1:7" x14ac:dyDescent="0.25">
      <c r="A196" s="2" t="str">
        <f>HYPERLINK("./new_k5/query_cmdrels_weight_analyze/0.4_0.3_0.3/au_85318.xlsx","au_85318")</f>
        <v>au_85318</v>
      </c>
      <c r="B196" s="2">
        <v>0</v>
      </c>
      <c r="C196" s="2">
        <v>0.2</v>
      </c>
      <c r="D196" s="2">
        <v>0</v>
      </c>
      <c r="E196" s="2">
        <v>0.4</v>
      </c>
      <c r="F196" s="2">
        <v>0</v>
      </c>
      <c r="G196" s="2">
        <v>0.4</v>
      </c>
    </row>
    <row r="197" spans="1:7" x14ac:dyDescent="0.25">
      <c r="A197" s="2" t="str">
        <f>HYPERLINK("./new_k5/query_cmdrels_weight_analyze/0.4_0.3_0.3/au_854332.xlsx","au_854332")</f>
        <v>au_854332</v>
      </c>
      <c r="B197" s="2">
        <v>0</v>
      </c>
      <c r="C197" s="2">
        <v>0.33333333333333331</v>
      </c>
      <c r="D197" s="2">
        <v>0</v>
      </c>
      <c r="E197" s="2">
        <v>0.33333333333333331</v>
      </c>
      <c r="F197" s="2">
        <v>0</v>
      </c>
      <c r="G197" s="2">
        <v>0.33333333333333331</v>
      </c>
    </row>
    <row r="198" spans="1:7" x14ac:dyDescent="0.25">
      <c r="A198" s="2" t="str">
        <f>HYPERLINK("./new_k5/query_cmdrels_weight_analyze/0.4_0.3_0.3/au_854373.xlsx","au_854373")</f>
        <v>au_854373</v>
      </c>
      <c r="B198" s="2">
        <v>0</v>
      </c>
      <c r="C198" s="2">
        <v>0</v>
      </c>
      <c r="D198" s="2">
        <v>0</v>
      </c>
      <c r="E198" s="2">
        <v>0.16666666666666671</v>
      </c>
      <c r="F198" s="2">
        <v>0</v>
      </c>
      <c r="G198" s="2">
        <v>0.33333333333333331</v>
      </c>
    </row>
    <row r="199" spans="1:7" x14ac:dyDescent="0.25">
      <c r="A199" s="2" t="str">
        <f>HYPERLINK("./new_k5/query_cmdrels_weight_analyze/0.4_0.3_0.3/au_86843.xlsx","au_86843")</f>
        <v>au_86843</v>
      </c>
      <c r="B199" s="2">
        <v>0</v>
      </c>
      <c r="C199" s="2">
        <v>0</v>
      </c>
      <c r="D199" s="2">
        <v>0</v>
      </c>
      <c r="E199" s="2">
        <v>0</v>
      </c>
      <c r="F199" s="2">
        <v>0</v>
      </c>
      <c r="G199" s="2">
        <v>0</v>
      </c>
    </row>
    <row r="200" spans="1:7" x14ac:dyDescent="0.25">
      <c r="A200" s="2" t="str">
        <f>HYPERLINK("./new_k5/query_cmdrels_weight_analyze/0.4_0.3_0.3/au_88108.xlsx","au_88108")</f>
        <v>au_88108</v>
      </c>
      <c r="B200" s="2">
        <v>0</v>
      </c>
      <c r="C200" s="2">
        <v>0</v>
      </c>
      <c r="D200" s="2">
        <v>0</v>
      </c>
      <c r="E200" s="2">
        <v>0</v>
      </c>
      <c r="F200" s="2">
        <v>0.04</v>
      </c>
      <c r="G200" s="2">
        <v>0.04</v>
      </c>
    </row>
    <row r="201" spans="1:7" x14ac:dyDescent="0.25">
      <c r="A201" s="2" t="str">
        <f>HYPERLINK("./new_k5/query_cmdrels_weight_analyze/0.4_0.3_0.3/au_90214.xlsx","au_90214")</f>
        <v>au_90214</v>
      </c>
      <c r="B201" s="2">
        <v>0</v>
      </c>
      <c r="C201" s="2">
        <v>0</v>
      </c>
      <c r="D201" s="2">
        <v>0</v>
      </c>
      <c r="E201" s="2">
        <v>0.1111111111111111</v>
      </c>
      <c r="F201" s="2">
        <v>0</v>
      </c>
      <c r="G201" s="2">
        <v>0.24444444444444449</v>
      </c>
    </row>
    <row r="202" spans="1:7" x14ac:dyDescent="0.25">
      <c r="A202" s="2" t="str">
        <f>HYPERLINK("./new_k5/query_cmdrels_weight_analyze/0.4_0.3_0.3/au_90339.xlsx","au_90339")</f>
        <v>au_90339</v>
      </c>
      <c r="B202" s="2">
        <v>0.14285714285714199</v>
      </c>
      <c r="C202" s="2">
        <v>0</v>
      </c>
      <c r="D202" s="2">
        <v>0.14285714285714199</v>
      </c>
      <c r="E202" s="2">
        <v>0.16666666666666671</v>
      </c>
      <c r="F202" s="2">
        <v>0.3</v>
      </c>
      <c r="G202" s="2">
        <v>0.16666666666666671</v>
      </c>
    </row>
    <row r="203" spans="1:7" x14ac:dyDescent="0.25">
      <c r="A203" s="2" t="str">
        <f>HYPERLINK("./new_k5/query_cmdrels_weight_analyze/0.4_0.3_0.3/au_91286.xlsx","au_91286")</f>
        <v>au_91286</v>
      </c>
      <c r="B203" s="2">
        <v>0</v>
      </c>
      <c r="C203" s="2">
        <v>0</v>
      </c>
      <c r="D203" s="2">
        <v>0.16666666666666599</v>
      </c>
      <c r="E203" s="2">
        <v>0.16666666666666671</v>
      </c>
      <c r="F203" s="2">
        <v>0.16666666666666599</v>
      </c>
      <c r="G203" s="2">
        <v>0.16666666666666671</v>
      </c>
    </row>
    <row r="204" spans="1:7" x14ac:dyDescent="0.25">
      <c r="A204" s="2" t="str">
        <f>HYPERLINK("./new_k5/query_cmdrels_weight_analyze/0.4_0.3_0.3/au_9135.xlsx","au_9135")</f>
        <v>au_9135</v>
      </c>
      <c r="B204" s="2">
        <v>0</v>
      </c>
      <c r="C204" s="2">
        <v>0</v>
      </c>
      <c r="D204" s="2">
        <v>0.05</v>
      </c>
      <c r="E204" s="2">
        <v>0.1166666666666667</v>
      </c>
      <c r="F204" s="2">
        <v>0.09</v>
      </c>
      <c r="G204" s="2">
        <v>0.19166666666666671</v>
      </c>
    </row>
    <row r="205" spans="1:7" x14ac:dyDescent="0.25">
      <c r="A205" s="2" t="str">
        <f>HYPERLINK("./new_k5/query_cmdrels_weight_analyze/0.4_0.3_0.3/au_935569.xlsx","au_935569")</f>
        <v>au_935569</v>
      </c>
      <c r="B205" s="2">
        <v>0</v>
      </c>
      <c r="C205" s="2">
        <v>0</v>
      </c>
      <c r="D205" s="2">
        <v>7.1428571428571397E-2</v>
      </c>
      <c r="E205" s="2">
        <v>0.16666666666666671</v>
      </c>
      <c r="F205" s="2">
        <v>0.128571428571428</v>
      </c>
      <c r="G205" s="2">
        <v>0.16666666666666671</v>
      </c>
    </row>
    <row r="206" spans="1:7" x14ac:dyDescent="0.25">
      <c r="A206" s="2" t="str">
        <f>HYPERLINK("./new_k5/query_cmdrels_weight_analyze/0.4_0.3_0.3/au_97936.xlsx","au_97936")</f>
        <v>au_97936</v>
      </c>
      <c r="B206" s="2">
        <v>0</v>
      </c>
      <c r="C206" s="2">
        <v>0.14285714285714279</v>
      </c>
      <c r="D206" s="2">
        <v>0</v>
      </c>
      <c r="E206" s="2">
        <v>0.2857142857142857</v>
      </c>
      <c r="F206" s="2">
        <v>3.5714285714285698E-2</v>
      </c>
      <c r="G206" s="2">
        <v>0.2857142857142857</v>
      </c>
    </row>
    <row r="207" spans="1:7" x14ac:dyDescent="0.25">
      <c r="A207" s="2" t="str">
        <f>HYPERLINK("./new_k5/query_cmdrels_weight_analyze/0.4_0.3_0.3/so_10235778.xlsx","so_10235778")</f>
        <v>so_10235778</v>
      </c>
      <c r="B207" s="2">
        <v>0.25</v>
      </c>
      <c r="C207" s="2">
        <v>0.25</v>
      </c>
      <c r="D207" s="2">
        <v>0.25</v>
      </c>
      <c r="E207" s="2">
        <v>0.41666666666666657</v>
      </c>
      <c r="F207" s="2">
        <v>0.25</v>
      </c>
      <c r="G207" s="2">
        <v>0.41666666666666657</v>
      </c>
    </row>
    <row r="208" spans="1:7" x14ac:dyDescent="0.25">
      <c r="A208" s="2" t="str">
        <f>HYPERLINK("./new_k5/query_cmdrels_weight_analyze/0.4_0.3_0.3/so_1045910.xlsx","so_1045910")</f>
        <v>so_1045910</v>
      </c>
      <c r="B208" s="2">
        <v>0</v>
      </c>
      <c r="C208" s="2">
        <v>0</v>
      </c>
      <c r="D208" s="2">
        <v>0</v>
      </c>
      <c r="E208" s="2">
        <v>0.29166666666666657</v>
      </c>
      <c r="F208" s="2">
        <v>0.05</v>
      </c>
      <c r="G208" s="2">
        <v>0.29166666666666657</v>
      </c>
    </row>
    <row r="209" spans="1:7" x14ac:dyDescent="0.25">
      <c r="A209" s="2" t="str">
        <f>HYPERLINK("./new_k5/query_cmdrels_weight_analyze/0.4_0.3_0.3/so_10557360.xlsx","so_10557360")</f>
        <v>so_10557360</v>
      </c>
      <c r="B209" s="2">
        <v>0</v>
      </c>
      <c r="C209" s="2">
        <v>0</v>
      </c>
      <c r="D209" s="2">
        <v>0</v>
      </c>
      <c r="E209" s="2">
        <v>6.6666666666666666E-2</v>
      </c>
      <c r="F209" s="2">
        <v>0.04</v>
      </c>
      <c r="G209" s="2">
        <v>6.6666666666666666E-2</v>
      </c>
    </row>
    <row r="210" spans="1:7" x14ac:dyDescent="0.25">
      <c r="A210" s="2" t="str">
        <f>HYPERLINK("./new_k5/query_cmdrels_weight_analyze/0.4_0.3_0.3/so_1058047.xlsx","so_1058047")</f>
        <v>so_1058047</v>
      </c>
      <c r="B210" s="2">
        <v>0.25</v>
      </c>
      <c r="C210" s="2">
        <v>0.25</v>
      </c>
      <c r="D210" s="2">
        <v>0.25</v>
      </c>
      <c r="E210" s="2">
        <v>0.25</v>
      </c>
      <c r="F210" s="2">
        <v>0.25</v>
      </c>
      <c r="G210" s="2">
        <v>0.375</v>
      </c>
    </row>
    <row r="211" spans="1:7" x14ac:dyDescent="0.25">
      <c r="A211" s="2" t="str">
        <f>HYPERLINK("./new_k5/query_cmdrels_weight_analyze/0.4_0.3_0.3/so_10829402.xlsx","so_10829402")</f>
        <v>so_10829402</v>
      </c>
      <c r="B211" s="2">
        <v>0</v>
      </c>
      <c r="C211" s="2">
        <v>0.5</v>
      </c>
      <c r="D211" s="2">
        <v>0</v>
      </c>
      <c r="E211" s="2">
        <v>0.5</v>
      </c>
      <c r="F211" s="2">
        <v>0</v>
      </c>
      <c r="G211" s="2">
        <v>0.5</v>
      </c>
    </row>
    <row r="212" spans="1:7" x14ac:dyDescent="0.25">
      <c r="A212" s="2" t="str">
        <f>HYPERLINK("./new_k5/query_cmdrels_weight_analyze/0.4_0.3_0.3/so_1088098.xlsx","so_1088098")</f>
        <v>so_1088098</v>
      </c>
      <c r="B212" s="2">
        <v>0</v>
      </c>
      <c r="C212" s="2">
        <v>0.25</v>
      </c>
      <c r="D212" s="2">
        <v>8.3333333333333301E-2</v>
      </c>
      <c r="E212" s="2">
        <v>0.25</v>
      </c>
      <c r="F212" s="2">
        <v>8.3333333333333301E-2</v>
      </c>
      <c r="G212" s="2">
        <v>0.25</v>
      </c>
    </row>
    <row r="213" spans="1:7" x14ac:dyDescent="0.25">
      <c r="A213" s="2" t="str">
        <f>HYPERLINK("./new_k5/query_cmdrels_weight_analyze/0.4_0.3_0.3/so_10990949.xlsx","so_10990949")</f>
        <v>so_10990949</v>
      </c>
      <c r="B213" s="2">
        <v>0.5</v>
      </c>
      <c r="C213" s="2">
        <v>0.5</v>
      </c>
      <c r="D213" s="2">
        <v>0.5</v>
      </c>
      <c r="E213" s="2">
        <v>0.5</v>
      </c>
      <c r="F213" s="2">
        <v>0.5</v>
      </c>
      <c r="G213" s="2">
        <v>0.5</v>
      </c>
    </row>
    <row r="214" spans="1:7" x14ac:dyDescent="0.25">
      <c r="A214" s="2" t="str">
        <f>HYPERLINK("./new_k5/query_cmdrels_weight_analyze/0.4_0.3_0.3/so_11211705.xlsx","so_11211705")</f>
        <v>so_11211705</v>
      </c>
      <c r="B214" s="2">
        <v>0</v>
      </c>
      <c r="C214" s="2">
        <v>0.25</v>
      </c>
      <c r="D214" s="2">
        <v>8.3333333333333301E-2</v>
      </c>
      <c r="E214" s="2">
        <v>0.5</v>
      </c>
      <c r="F214" s="2">
        <v>8.3333333333333301E-2</v>
      </c>
      <c r="G214" s="2">
        <v>0.5</v>
      </c>
    </row>
    <row r="215" spans="1:7" x14ac:dyDescent="0.25">
      <c r="A215" s="2" t="str">
        <f>HYPERLINK("./new_k5/query_cmdrels_weight_analyze/0.4_0.3_0.3/so_112932.xlsx","so_112932")</f>
        <v>so_112932</v>
      </c>
      <c r="B215" s="2">
        <v>0.33333333333333298</v>
      </c>
      <c r="C215" s="2">
        <v>0</v>
      </c>
      <c r="D215" s="2">
        <v>0.33333333333333298</v>
      </c>
      <c r="E215" s="2">
        <v>0.38888888888888878</v>
      </c>
      <c r="F215" s="2">
        <v>0.33333333333333298</v>
      </c>
      <c r="G215" s="2">
        <v>0.38888888888888878</v>
      </c>
    </row>
    <row r="216" spans="1:7" x14ac:dyDescent="0.25">
      <c r="A216" s="2" t="str">
        <f>HYPERLINK("./new_k5/query_cmdrels_weight_analyze/0.4_0.3_0.3/so_11392189.xlsx","so_11392189")</f>
        <v>so_11392189</v>
      </c>
      <c r="B216" s="2">
        <v>0.25</v>
      </c>
      <c r="C216" s="2">
        <v>0</v>
      </c>
      <c r="D216" s="2">
        <v>0.41666666666666602</v>
      </c>
      <c r="E216" s="2">
        <v>8.3333333333333329E-2</v>
      </c>
      <c r="F216" s="2">
        <v>0.56666666666666599</v>
      </c>
      <c r="G216" s="2">
        <v>8.3333333333333329E-2</v>
      </c>
    </row>
    <row r="217" spans="1:7" x14ac:dyDescent="0.25">
      <c r="A217" s="2" t="str">
        <f>HYPERLINK("./new_k5/query_cmdrels_weight_analyze/0.4_0.3_0.3/so_1183183.xlsx","so_1183183")</f>
        <v>so_1183183</v>
      </c>
      <c r="B217" s="2">
        <v>0</v>
      </c>
      <c r="C217" s="2">
        <v>0</v>
      </c>
      <c r="D217" s="2">
        <v>0</v>
      </c>
      <c r="E217" s="2">
        <v>0.33333333333333331</v>
      </c>
      <c r="F217" s="2">
        <v>0</v>
      </c>
      <c r="G217" s="2">
        <v>0.33333333333333331</v>
      </c>
    </row>
    <row r="218" spans="1:7" x14ac:dyDescent="0.25">
      <c r="A218" s="2" t="str">
        <f>HYPERLINK("./new_k5/query_cmdrels_weight_analyze/0.4_0.3_0.3/so_1194882.xlsx","so_1194882")</f>
        <v>so_1194882</v>
      </c>
      <c r="B218" s="2">
        <v>0</v>
      </c>
      <c r="C218" s="2">
        <v>0.2</v>
      </c>
      <c r="D218" s="2">
        <v>0</v>
      </c>
      <c r="E218" s="2">
        <v>0.33333333333333331</v>
      </c>
      <c r="F218" s="2">
        <v>0</v>
      </c>
      <c r="G218" s="2">
        <v>0.48333333333333328</v>
      </c>
    </row>
    <row r="219" spans="1:7" x14ac:dyDescent="0.25">
      <c r="A219" s="2" t="str">
        <f>HYPERLINK("./new_k5/query_cmdrels_weight_analyze/0.4_0.3_0.3/so_12120935.xlsx","so_12120935")</f>
        <v>so_12120935</v>
      </c>
      <c r="B219" s="2">
        <v>0</v>
      </c>
      <c r="C219" s="2">
        <v>0.25</v>
      </c>
      <c r="D219" s="2">
        <v>0.125</v>
      </c>
      <c r="E219" s="2">
        <v>0.75</v>
      </c>
      <c r="F219" s="2">
        <v>0.25</v>
      </c>
      <c r="G219" s="2">
        <v>0.75</v>
      </c>
    </row>
    <row r="220" spans="1:7" x14ac:dyDescent="0.25">
      <c r="A220" s="2" t="str">
        <f>HYPERLINK("./new_k5/query_cmdrels_weight_analyze/0.4_0.3_0.3/so_12313384.xlsx","so_12313384")</f>
        <v>so_12313384</v>
      </c>
      <c r="B220" s="2">
        <v>0</v>
      </c>
      <c r="C220" s="2">
        <v>0.33333333333333331</v>
      </c>
      <c r="D220" s="2">
        <v>0</v>
      </c>
      <c r="E220" s="2">
        <v>0.66666666666666663</v>
      </c>
      <c r="F220" s="2">
        <v>6.6666666666666596E-2</v>
      </c>
      <c r="G220" s="2">
        <v>0.66666666666666663</v>
      </c>
    </row>
    <row r="221" spans="1:7" x14ac:dyDescent="0.25">
      <c r="A221" s="2" t="str">
        <f>HYPERLINK("./new_k5/query_cmdrels_weight_analyze/0.4_0.3_0.3/so_12392598.xlsx","so_12392598")</f>
        <v>so_12392598</v>
      </c>
      <c r="B221" s="2">
        <v>0</v>
      </c>
      <c r="C221" s="2">
        <v>0.14285714285714279</v>
      </c>
      <c r="D221" s="2">
        <v>0</v>
      </c>
      <c r="E221" s="2">
        <v>0.42857142857142849</v>
      </c>
      <c r="F221" s="2">
        <v>0</v>
      </c>
      <c r="G221" s="2">
        <v>0.54285714285714282</v>
      </c>
    </row>
    <row r="222" spans="1:7" x14ac:dyDescent="0.25">
      <c r="A222" s="2" t="str">
        <f>HYPERLINK("./new_k5/query_cmdrels_weight_analyze/0.4_0.3_0.3/so_1241801.xlsx","so_1241801")</f>
        <v>so_1241801</v>
      </c>
      <c r="B222" s="2">
        <v>0</v>
      </c>
      <c r="C222" s="2">
        <v>0.5</v>
      </c>
      <c r="D222" s="2">
        <v>0.25</v>
      </c>
      <c r="E222" s="2">
        <v>1</v>
      </c>
      <c r="F222" s="2">
        <v>0.25</v>
      </c>
      <c r="G222" s="2">
        <v>1</v>
      </c>
    </row>
    <row r="223" spans="1:7" x14ac:dyDescent="0.25">
      <c r="A223" s="2" t="str">
        <f>HYPERLINK("./new_k5/query_cmdrels_weight_analyze/0.4_0.3_0.3/so_12522269.xlsx","so_12522269")</f>
        <v>so_12522269</v>
      </c>
      <c r="B223" s="2">
        <v>0.2</v>
      </c>
      <c r="C223" s="2">
        <v>0</v>
      </c>
      <c r="D223" s="2">
        <v>0.4</v>
      </c>
      <c r="E223" s="2">
        <v>0.1</v>
      </c>
      <c r="F223" s="2">
        <v>0.4</v>
      </c>
      <c r="G223" s="2">
        <v>0.1</v>
      </c>
    </row>
    <row r="224" spans="1:7" x14ac:dyDescent="0.25">
      <c r="A224" s="2" t="str">
        <f>HYPERLINK("./new_k5/query_cmdrels_weight_analyze/0.4_0.3_0.3/so_1293907.xlsx","so_1293907")</f>
        <v>so_1293907</v>
      </c>
      <c r="B224" s="2">
        <v>0.33333333333333298</v>
      </c>
      <c r="C224" s="2">
        <v>0.33333333333333331</v>
      </c>
      <c r="D224" s="2">
        <v>0.33333333333333298</v>
      </c>
      <c r="E224" s="2">
        <v>0.66666666666666663</v>
      </c>
      <c r="F224" s="2">
        <v>0.33333333333333298</v>
      </c>
      <c r="G224" s="2">
        <v>0.8666666666666667</v>
      </c>
    </row>
    <row r="225" spans="1:7" x14ac:dyDescent="0.25">
      <c r="A225" s="2" t="str">
        <f>HYPERLINK("./new_k5/query_cmdrels_weight_analyze/0.4_0.3_0.3/so_13428910.xlsx","so_13428910")</f>
        <v>so_13428910</v>
      </c>
      <c r="B225" s="2">
        <v>0</v>
      </c>
      <c r="C225" s="2">
        <v>0.33333333333333331</v>
      </c>
      <c r="D225" s="2">
        <v>0.16666666666666599</v>
      </c>
      <c r="E225" s="2">
        <v>1</v>
      </c>
      <c r="F225" s="2">
        <v>0.3</v>
      </c>
      <c r="G225" s="2">
        <v>1</v>
      </c>
    </row>
    <row r="226" spans="1:7" x14ac:dyDescent="0.25">
      <c r="A226" s="2" t="str">
        <f>HYPERLINK("./new_k5/query_cmdrels_weight_analyze/0.4_0.3_0.3/so_135688.xlsx","so_135688")</f>
        <v>so_135688</v>
      </c>
      <c r="B226" s="2">
        <v>1</v>
      </c>
      <c r="C226" s="2">
        <v>1</v>
      </c>
      <c r="D226" s="2">
        <v>1</v>
      </c>
      <c r="E226" s="2">
        <v>1</v>
      </c>
      <c r="F226" s="2">
        <v>1</v>
      </c>
      <c r="G226" s="2">
        <v>1</v>
      </c>
    </row>
    <row r="227" spans="1:7" x14ac:dyDescent="0.25">
      <c r="A227" s="2" t="str">
        <f>HYPERLINK("./new_k5/query_cmdrels_weight_analyze/0.4_0.3_0.3/so_13778273.xlsx","so_13778273")</f>
        <v>so_13778273</v>
      </c>
      <c r="B227" s="2">
        <v>0</v>
      </c>
      <c r="C227" s="2">
        <v>0.25</v>
      </c>
      <c r="D227" s="2">
        <v>0</v>
      </c>
      <c r="E227" s="2">
        <v>0.5</v>
      </c>
      <c r="F227" s="2">
        <v>0.05</v>
      </c>
      <c r="G227" s="2">
        <v>0.5</v>
      </c>
    </row>
    <row r="228" spans="1:7" x14ac:dyDescent="0.25">
      <c r="A228" s="2" t="str">
        <f>HYPERLINK("./new_k5/query_cmdrels_weight_analyze/0.4_0.3_0.3/so_1405611.xlsx","so_1405611")</f>
        <v>so_1405611</v>
      </c>
      <c r="B228" s="2">
        <v>0</v>
      </c>
      <c r="C228" s="2">
        <v>0</v>
      </c>
      <c r="D228" s="2">
        <v>0.16666666666666599</v>
      </c>
      <c r="E228" s="2">
        <v>0</v>
      </c>
      <c r="F228" s="2">
        <v>0.16666666666666599</v>
      </c>
      <c r="G228" s="2">
        <v>8.3333333333333329E-2</v>
      </c>
    </row>
    <row r="229" spans="1:7" x14ac:dyDescent="0.25">
      <c r="A229" s="2" t="str">
        <f>HYPERLINK("./new_k5/query_cmdrels_weight_analyze/0.4_0.3_0.3/so_14300794.xlsx","so_14300794")</f>
        <v>so_14300794</v>
      </c>
      <c r="B229" s="2">
        <v>0.16666666666666599</v>
      </c>
      <c r="C229" s="2">
        <v>0.16666666666666671</v>
      </c>
      <c r="D229" s="2">
        <v>0.27777777777777701</v>
      </c>
      <c r="E229" s="2">
        <v>0.5</v>
      </c>
      <c r="F229" s="2">
        <v>0.27777777777777701</v>
      </c>
      <c r="G229" s="2">
        <v>0.83333333333333337</v>
      </c>
    </row>
    <row r="230" spans="1:7" x14ac:dyDescent="0.25">
      <c r="A230" s="2" t="str">
        <f>HYPERLINK("./new_k5/query_cmdrels_weight_analyze/0.4_0.3_0.3/so_143791.xlsx","so_143791")</f>
        <v>so_143791</v>
      </c>
      <c r="B230" s="2">
        <v>0</v>
      </c>
      <c r="C230" s="2">
        <v>0</v>
      </c>
      <c r="D230" s="2">
        <v>0.14583333333333301</v>
      </c>
      <c r="E230" s="2">
        <v>0.14583333333333329</v>
      </c>
      <c r="F230" s="2">
        <v>0.14583333333333301</v>
      </c>
      <c r="G230" s="2">
        <v>0.33958333333333329</v>
      </c>
    </row>
    <row r="231" spans="1:7" x14ac:dyDescent="0.25">
      <c r="A231" s="2" t="str">
        <f>HYPERLINK("./new_k5/query_cmdrels_weight_analyze/0.4_0.3_0.3/so_14750650.xlsx","so_14750650")</f>
        <v>so_14750650</v>
      </c>
      <c r="B231" s="2">
        <v>0.25</v>
      </c>
      <c r="C231" s="2">
        <v>0</v>
      </c>
      <c r="D231" s="2">
        <v>0.25</v>
      </c>
      <c r="E231" s="2">
        <v>0</v>
      </c>
      <c r="F231" s="2">
        <v>0.25</v>
      </c>
      <c r="G231" s="2">
        <v>0.05</v>
      </c>
    </row>
    <row r="232" spans="1:7" x14ac:dyDescent="0.25">
      <c r="A232" s="2" t="str">
        <f>HYPERLINK("./new_k5/query_cmdrels_weight_analyze/0.4_0.3_0.3/so_14978411.xlsx","so_14978411")</f>
        <v>so_14978411</v>
      </c>
      <c r="B232" s="2">
        <v>0.5</v>
      </c>
      <c r="C232" s="2">
        <v>0.5</v>
      </c>
      <c r="D232" s="2">
        <v>0.5</v>
      </c>
      <c r="E232" s="2">
        <v>0.5</v>
      </c>
      <c r="F232" s="2">
        <v>0.5</v>
      </c>
      <c r="G232" s="2">
        <v>0.5</v>
      </c>
    </row>
    <row r="233" spans="1:7" x14ac:dyDescent="0.25">
      <c r="A233" s="2" t="str">
        <f>HYPERLINK("./new_k5/query_cmdrels_weight_analyze/0.4_0.3_0.3/so_15236308.xlsx","so_15236308")</f>
        <v>so_15236308</v>
      </c>
      <c r="B233" s="2">
        <v>0.25</v>
      </c>
      <c r="C233" s="2">
        <v>0.25</v>
      </c>
      <c r="D233" s="2">
        <v>0.25</v>
      </c>
      <c r="E233" s="2">
        <v>0.5</v>
      </c>
      <c r="F233" s="2">
        <v>0.25</v>
      </c>
      <c r="G233" s="2">
        <v>0.6875</v>
      </c>
    </row>
    <row r="234" spans="1:7" x14ac:dyDescent="0.25">
      <c r="A234" s="2" t="str">
        <f>HYPERLINK("./new_k5/query_cmdrels_weight_analyze/0.4_0.3_0.3/so_15286947.xlsx","so_15286947")</f>
        <v>so_15286947</v>
      </c>
      <c r="B234" s="2">
        <v>1</v>
      </c>
      <c r="C234" s="2">
        <v>0</v>
      </c>
      <c r="D234" s="2">
        <v>1</v>
      </c>
      <c r="E234" s="2">
        <v>0</v>
      </c>
      <c r="F234" s="2">
        <v>1</v>
      </c>
      <c r="G234" s="2">
        <v>0</v>
      </c>
    </row>
    <row r="235" spans="1:7" x14ac:dyDescent="0.25">
      <c r="A235" s="2" t="str">
        <f>HYPERLINK("./new_k5/query_cmdrels_weight_analyze/0.4_0.3_0.3/so_15402770.xlsx","so_15402770")</f>
        <v>so_15402770</v>
      </c>
      <c r="B235" s="2">
        <v>0.16666666666666599</v>
      </c>
      <c r="C235" s="2">
        <v>0.16666666666666671</v>
      </c>
      <c r="D235" s="2">
        <v>0.33333333333333298</v>
      </c>
      <c r="E235" s="2">
        <v>0.27777777777777768</v>
      </c>
      <c r="F235" s="2">
        <v>0.33333333333333298</v>
      </c>
      <c r="G235" s="2">
        <v>0.40277777777777768</v>
      </c>
    </row>
    <row r="236" spans="1:7" x14ac:dyDescent="0.25">
      <c r="A236" s="2" t="str">
        <f>HYPERLINK("./new_k5/query_cmdrels_weight_analyze/0.4_0.3_0.3/so_1570262.xlsx","so_1570262")</f>
        <v>so_1570262</v>
      </c>
      <c r="B236" s="2">
        <v>0</v>
      </c>
      <c r="C236" s="2">
        <v>0</v>
      </c>
      <c r="D236" s="2">
        <v>6.6666666666666596E-2</v>
      </c>
      <c r="E236" s="2">
        <v>6.6666666666666666E-2</v>
      </c>
      <c r="F236" s="2">
        <v>6.6666666666666596E-2</v>
      </c>
      <c r="G236" s="2">
        <v>0.1466666666666667</v>
      </c>
    </row>
    <row r="237" spans="1:7" x14ac:dyDescent="0.25">
      <c r="A237" s="2" t="str">
        <f>HYPERLINK("./new_k5/query_cmdrels_weight_analyze/0.4_0.3_0.3/so_1583219.xlsx","so_1583219")</f>
        <v>so_1583219</v>
      </c>
      <c r="B237" s="2">
        <v>0.125</v>
      </c>
      <c r="C237" s="2">
        <v>0.125</v>
      </c>
      <c r="D237" s="2">
        <v>0.20833333333333301</v>
      </c>
      <c r="E237" s="2">
        <v>0.25</v>
      </c>
      <c r="F237" s="2">
        <v>0.30208333333333298</v>
      </c>
      <c r="G237" s="2">
        <v>0.32500000000000001</v>
      </c>
    </row>
    <row r="238" spans="1:7" x14ac:dyDescent="0.25">
      <c r="A238" s="2" t="str">
        <f>HYPERLINK("./new_k5/query_cmdrels_weight_analyze/0.4_0.3_0.3/so_15872543.xlsx","so_15872543")</f>
        <v>so_15872543</v>
      </c>
      <c r="B238" s="2">
        <v>0.5</v>
      </c>
      <c r="C238" s="2">
        <v>0.5</v>
      </c>
      <c r="D238" s="2">
        <v>0.83333333333333304</v>
      </c>
      <c r="E238" s="2">
        <v>0.83333333333333326</v>
      </c>
      <c r="F238" s="2">
        <v>0.83333333333333304</v>
      </c>
      <c r="G238" s="2">
        <v>0.83333333333333326</v>
      </c>
    </row>
    <row r="239" spans="1:7" x14ac:dyDescent="0.25">
      <c r="A239" s="2" t="str">
        <f>HYPERLINK("./new_k5/query_cmdrels_weight_analyze/0.4_0.3_0.3/so_16038087.xlsx","so_16038087")</f>
        <v>so_16038087</v>
      </c>
      <c r="B239" s="2">
        <v>0</v>
      </c>
      <c r="C239" s="2">
        <v>0.14285714285714279</v>
      </c>
      <c r="D239" s="2">
        <v>0</v>
      </c>
      <c r="E239" s="2">
        <v>0.42857142857142849</v>
      </c>
      <c r="F239" s="2">
        <v>0</v>
      </c>
      <c r="G239" s="2">
        <v>0.5714285714285714</v>
      </c>
    </row>
    <row r="240" spans="1:7" x14ac:dyDescent="0.25">
      <c r="A240" s="2" t="str">
        <f>HYPERLINK("./new_k5/query_cmdrels_weight_analyze/0.4_0.3_0.3/so_16212656.xlsx","so_16212656")</f>
        <v>so_16212656</v>
      </c>
      <c r="B240" s="2">
        <v>0.1</v>
      </c>
      <c r="C240" s="2">
        <v>0.1</v>
      </c>
      <c r="D240" s="2">
        <v>0.16666666666666599</v>
      </c>
      <c r="E240" s="2">
        <v>0.3</v>
      </c>
      <c r="F240" s="2">
        <v>0.241666666666666</v>
      </c>
      <c r="G240" s="2">
        <v>0.4</v>
      </c>
    </row>
    <row r="241" spans="1:7" x14ac:dyDescent="0.25">
      <c r="A241" s="2" t="str">
        <f>HYPERLINK("./new_k5/query_cmdrels_weight_analyze/0.4_0.3_0.3/so_16575419.xlsx","so_16575419")</f>
        <v>so_16575419</v>
      </c>
      <c r="B241" s="2">
        <v>0.25</v>
      </c>
      <c r="C241" s="2">
        <v>0.25</v>
      </c>
      <c r="D241" s="2">
        <v>0.41666666666666602</v>
      </c>
      <c r="E241" s="2">
        <v>0.75</v>
      </c>
      <c r="F241" s="2">
        <v>0.41666666666666602</v>
      </c>
      <c r="G241" s="2">
        <v>0.75</v>
      </c>
    </row>
    <row r="242" spans="1:7" x14ac:dyDescent="0.25">
      <c r="A242" s="2" t="str">
        <f>HYPERLINK("./new_k5/query_cmdrels_weight_analyze/0.4_0.3_0.3/so_17582768.xlsx","so_17582768")</f>
        <v>so_17582768</v>
      </c>
      <c r="B242" s="2">
        <v>0</v>
      </c>
      <c r="C242" s="2">
        <v>0</v>
      </c>
      <c r="D242" s="2">
        <v>0</v>
      </c>
      <c r="E242" s="2">
        <v>0</v>
      </c>
      <c r="F242" s="2">
        <v>0</v>
      </c>
      <c r="G242" s="2">
        <v>8.3333333333333329E-2</v>
      </c>
    </row>
    <row r="243" spans="1:7" x14ac:dyDescent="0.25">
      <c r="A243" s="2" t="str">
        <f>HYPERLINK("./new_k5/query_cmdrels_weight_analyze/0.4_0.3_0.3/so_17607612.xlsx","so_17607612")</f>
        <v>so_17607612</v>
      </c>
      <c r="B243" s="2">
        <v>0</v>
      </c>
      <c r="C243" s="2">
        <v>0</v>
      </c>
      <c r="D243" s="2">
        <v>0</v>
      </c>
      <c r="E243" s="2">
        <v>0</v>
      </c>
      <c r="F243" s="2">
        <v>0</v>
      </c>
      <c r="G243" s="2">
        <v>0.2</v>
      </c>
    </row>
    <row r="244" spans="1:7" x14ac:dyDescent="0.25">
      <c r="A244" s="2" t="str">
        <f>HYPERLINK("./new_k5/query_cmdrels_weight_analyze/0.4_0.3_0.3/so_17829785.xlsx","so_17829785")</f>
        <v>so_17829785</v>
      </c>
      <c r="B244" s="2">
        <v>0.25</v>
      </c>
      <c r="C244" s="2">
        <v>0.25</v>
      </c>
      <c r="D244" s="2">
        <v>0.5</v>
      </c>
      <c r="E244" s="2">
        <v>0.41666666666666657</v>
      </c>
      <c r="F244" s="2">
        <v>0.6875</v>
      </c>
      <c r="G244" s="2">
        <v>0.41666666666666657</v>
      </c>
    </row>
    <row r="245" spans="1:7" x14ac:dyDescent="0.25">
      <c r="A245" s="2" t="str">
        <f>HYPERLINK("./new_k5/query_cmdrels_weight_analyze/0.4_0.3_0.3/so_1839841.xlsx","so_1839841")</f>
        <v>so_1839841</v>
      </c>
      <c r="B245" s="2">
        <v>0.25</v>
      </c>
      <c r="C245" s="2">
        <v>0.25</v>
      </c>
      <c r="D245" s="2">
        <v>0.25</v>
      </c>
      <c r="E245" s="2">
        <v>0.25</v>
      </c>
      <c r="F245" s="2">
        <v>0.25</v>
      </c>
      <c r="G245" s="2">
        <v>0.25</v>
      </c>
    </row>
    <row r="246" spans="1:7" x14ac:dyDescent="0.25">
      <c r="A246" s="2" t="str">
        <f>HYPERLINK("./new_k5/query_cmdrels_weight_analyze/0.4_0.3_0.3/so_18468716.xlsx","so_18468716")</f>
        <v>so_18468716</v>
      </c>
      <c r="B246" s="2">
        <v>0.33333333333333298</v>
      </c>
      <c r="C246" s="2">
        <v>0.33333333333333331</v>
      </c>
      <c r="D246" s="2">
        <v>0.33333333333333298</v>
      </c>
      <c r="E246" s="2">
        <v>0.33333333333333331</v>
      </c>
      <c r="F246" s="2">
        <v>0.33333333333333298</v>
      </c>
      <c r="G246" s="2">
        <v>0.46666666666666662</v>
      </c>
    </row>
    <row r="247" spans="1:7" x14ac:dyDescent="0.25">
      <c r="A247" s="2" t="str">
        <f>HYPERLINK("./new_k5/query_cmdrels_weight_analyze/0.4_0.3_0.3/so_19196105.xlsx","so_19196105")</f>
        <v>so_19196105</v>
      </c>
      <c r="B247" s="2">
        <v>0</v>
      </c>
      <c r="C247" s="2">
        <v>0</v>
      </c>
      <c r="D247" s="2">
        <v>0</v>
      </c>
      <c r="E247" s="2">
        <v>0.1166666666666667</v>
      </c>
      <c r="F247" s="2">
        <v>0</v>
      </c>
      <c r="G247" s="2">
        <v>0.19166666666666671</v>
      </c>
    </row>
    <row r="248" spans="1:7" x14ac:dyDescent="0.25">
      <c r="A248" s="2" t="str">
        <f>HYPERLINK("./new_k5/query_cmdrels_weight_analyze/0.4_0.3_0.3/so_19482123.xlsx","so_19482123")</f>
        <v>so_19482123</v>
      </c>
      <c r="B248" s="2">
        <v>0</v>
      </c>
      <c r="C248" s="2">
        <v>0.2</v>
      </c>
      <c r="D248" s="2">
        <v>0</v>
      </c>
      <c r="E248" s="2">
        <v>0.4</v>
      </c>
      <c r="F248" s="2">
        <v>0</v>
      </c>
      <c r="G248" s="2">
        <v>0.52</v>
      </c>
    </row>
    <row r="249" spans="1:7" x14ac:dyDescent="0.25">
      <c r="A249" s="2" t="str">
        <f>HYPERLINK("./new_k5/query_cmdrels_weight_analyze/0.4_0.3_0.3/so_1975849.xlsx","so_1975849")</f>
        <v>so_1975849</v>
      </c>
      <c r="B249" s="2">
        <v>0</v>
      </c>
      <c r="C249" s="2">
        <v>0.33333333333333331</v>
      </c>
      <c r="D249" s="2">
        <v>0</v>
      </c>
      <c r="E249" s="2">
        <v>0.33333333333333331</v>
      </c>
      <c r="F249" s="2">
        <v>0</v>
      </c>
      <c r="G249" s="2">
        <v>0.5</v>
      </c>
    </row>
    <row r="250" spans="1:7" x14ac:dyDescent="0.25">
      <c r="A250" s="2" t="str">
        <f>HYPERLINK("./new_k5/query_cmdrels_weight_analyze/0.4_0.3_0.3/so_212528.xlsx","so_212528")</f>
        <v>so_212528</v>
      </c>
      <c r="B250" s="2">
        <v>0</v>
      </c>
      <c r="C250" s="2">
        <v>0.16666666666666671</v>
      </c>
      <c r="D250" s="2">
        <v>5.5555555555555497E-2</v>
      </c>
      <c r="E250" s="2">
        <v>0.33333333333333331</v>
      </c>
      <c r="F250" s="2">
        <v>0.122222222222222</v>
      </c>
      <c r="G250" s="2">
        <v>0.45833333333333331</v>
      </c>
    </row>
    <row r="251" spans="1:7" x14ac:dyDescent="0.25">
      <c r="A251" s="2" t="str">
        <f>HYPERLINK("./new_k5/query_cmdrels_weight_analyze/0.4_0.3_0.3/so_21620406.xlsx","so_21620406")</f>
        <v>so_21620406</v>
      </c>
      <c r="B251" s="2">
        <v>0</v>
      </c>
      <c r="C251" s="2">
        <v>0</v>
      </c>
      <c r="D251" s="2">
        <v>0</v>
      </c>
      <c r="E251" s="2">
        <v>0.1111111111111111</v>
      </c>
      <c r="F251" s="2">
        <v>0</v>
      </c>
      <c r="G251" s="2">
        <v>0.1111111111111111</v>
      </c>
    </row>
    <row r="252" spans="1:7" x14ac:dyDescent="0.25">
      <c r="A252" s="2" t="str">
        <f>HYPERLINK("./new_k5/query_cmdrels_weight_analyze/0.4_0.3_0.3/so_23509348.xlsx","so_23509348")</f>
        <v>so_23509348</v>
      </c>
      <c r="B252" s="2">
        <v>0.25</v>
      </c>
      <c r="C252" s="2">
        <v>0</v>
      </c>
      <c r="D252" s="2">
        <v>0.25</v>
      </c>
      <c r="E252" s="2">
        <v>0.125</v>
      </c>
      <c r="F252" s="2">
        <v>0.25</v>
      </c>
      <c r="G252" s="2">
        <v>0.4</v>
      </c>
    </row>
    <row r="253" spans="1:7" x14ac:dyDescent="0.25">
      <c r="A253" s="2" t="str">
        <f>HYPERLINK("./new_k5/query_cmdrels_weight_analyze/0.4_0.3_0.3/so_24058544.xlsx","so_24058544")</f>
        <v>so_24058544</v>
      </c>
      <c r="B253" s="2">
        <v>0.2</v>
      </c>
      <c r="C253" s="2">
        <v>0.2</v>
      </c>
      <c r="D253" s="2">
        <v>0.2</v>
      </c>
      <c r="E253" s="2">
        <v>0.33333333333333331</v>
      </c>
      <c r="F253" s="2">
        <v>0.2</v>
      </c>
      <c r="G253" s="2">
        <v>0.33333333333333331</v>
      </c>
    </row>
    <row r="254" spans="1:7" x14ac:dyDescent="0.25">
      <c r="A254" s="2" t="str">
        <f>HYPERLINK("./new_k5/query_cmdrels_weight_analyze/0.4_0.3_0.3/so_24283097.xlsx","so_24283097")</f>
        <v>so_24283097</v>
      </c>
      <c r="B254" s="2">
        <v>0</v>
      </c>
      <c r="C254" s="2">
        <v>0</v>
      </c>
      <c r="D254" s="2">
        <v>0</v>
      </c>
      <c r="E254" s="2">
        <v>0</v>
      </c>
      <c r="F254" s="2">
        <v>0.25</v>
      </c>
      <c r="G254" s="2">
        <v>0</v>
      </c>
    </row>
    <row r="255" spans="1:7" x14ac:dyDescent="0.25">
      <c r="A255" s="2" t="str">
        <f>HYPERLINK("./new_k5/query_cmdrels_weight_analyze/0.4_0.3_0.3/so_26256279.xlsx","so_26256279")</f>
        <v>so_26256279</v>
      </c>
      <c r="B255" s="2">
        <v>0</v>
      </c>
      <c r="C255" s="2">
        <v>0.33333333333333331</v>
      </c>
      <c r="D255" s="2">
        <v>0.16666666666666599</v>
      </c>
      <c r="E255" s="2">
        <v>1</v>
      </c>
      <c r="F255" s="2">
        <v>0.16666666666666599</v>
      </c>
      <c r="G255" s="2">
        <v>1</v>
      </c>
    </row>
    <row r="256" spans="1:7" x14ac:dyDescent="0.25">
      <c r="A256" s="2" t="str">
        <f>HYPERLINK("./new_k5/query_cmdrels_weight_analyze/0.4_0.3_0.3/so_26331651.xlsx","so_26331651")</f>
        <v>so_26331651</v>
      </c>
      <c r="B256" s="2">
        <v>0</v>
      </c>
      <c r="C256" s="2">
        <v>0.14285714285714279</v>
      </c>
      <c r="D256" s="2">
        <v>0</v>
      </c>
      <c r="E256" s="2">
        <v>0.23809523809523811</v>
      </c>
      <c r="F256" s="2">
        <v>0</v>
      </c>
      <c r="G256" s="2">
        <v>0.32380952380952382</v>
      </c>
    </row>
    <row r="257" spans="1:7" x14ac:dyDescent="0.25">
      <c r="A257" s="2" t="str">
        <f>HYPERLINK("./new_k5/query_cmdrels_weight_analyze/0.4_0.3_0.3/so_26988262.xlsx","so_26988262")</f>
        <v>so_26988262</v>
      </c>
      <c r="B257" s="2">
        <v>0</v>
      </c>
      <c r="C257" s="2">
        <v>0.33333333333333331</v>
      </c>
      <c r="D257" s="2">
        <v>0</v>
      </c>
      <c r="E257" s="2">
        <v>0.33333333333333331</v>
      </c>
      <c r="F257" s="2">
        <v>6.6666666666666596E-2</v>
      </c>
      <c r="G257" s="2">
        <v>0.33333333333333331</v>
      </c>
    </row>
    <row r="258" spans="1:7" x14ac:dyDescent="0.25">
      <c r="A258" s="2" t="str">
        <f>HYPERLINK("./new_k5/query_cmdrels_weight_analyze/0.4_0.3_0.3/so_27238411.xlsx","so_27238411")</f>
        <v>so_27238411</v>
      </c>
      <c r="B258" s="2">
        <v>0.2</v>
      </c>
      <c r="C258" s="2">
        <v>0.2</v>
      </c>
      <c r="D258" s="2">
        <v>0.4</v>
      </c>
      <c r="E258" s="2">
        <v>0.6</v>
      </c>
      <c r="F258" s="2">
        <v>0.55000000000000004</v>
      </c>
      <c r="G258" s="2">
        <v>0.6</v>
      </c>
    </row>
    <row r="259" spans="1:7" x14ac:dyDescent="0.25">
      <c r="A259" s="2" t="str">
        <f>HYPERLINK("./new_k5/query_cmdrels_weight_analyze/0.4_0.3_0.3/so_27943059.xlsx","so_27943059")</f>
        <v>so_27943059</v>
      </c>
      <c r="B259" s="2">
        <v>0</v>
      </c>
      <c r="C259" s="2">
        <v>0.33333333333333331</v>
      </c>
      <c r="D259" s="2">
        <v>0.11111111111111099</v>
      </c>
      <c r="E259" s="2">
        <v>0.33333333333333331</v>
      </c>
      <c r="F259" s="2">
        <v>0.11111111111111099</v>
      </c>
      <c r="G259" s="2">
        <v>0.5</v>
      </c>
    </row>
    <row r="260" spans="1:7" x14ac:dyDescent="0.25">
      <c r="A260" s="2" t="str">
        <f>HYPERLINK("./new_k5/query_cmdrels_weight_analyze/0.4_0.3_0.3/so_28869004.xlsx","so_28869004")</f>
        <v>so_28869004</v>
      </c>
      <c r="B260" s="2">
        <v>0.33333333333333298</v>
      </c>
      <c r="C260" s="2">
        <v>0.33333333333333331</v>
      </c>
      <c r="D260" s="2">
        <v>0.33333333333333298</v>
      </c>
      <c r="E260" s="2">
        <v>0.33333333333333331</v>
      </c>
      <c r="F260" s="2">
        <v>0.5</v>
      </c>
      <c r="G260" s="2">
        <v>0.5</v>
      </c>
    </row>
    <row r="261" spans="1:7" x14ac:dyDescent="0.25">
      <c r="A261" s="2" t="str">
        <f>HYPERLINK("./new_k5/query_cmdrels_weight_analyze/0.4_0.3_0.3/so_2973624.xlsx","so_2973624")</f>
        <v>so_2973624</v>
      </c>
      <c r="B261" s="2">
        <v>0.33333333333333298</v>
      </c>
      <c r="C261" s="2">
        <v>0.33333333333333331</v>
      </c>
      <c r="D261" s="2">
        <v>0.33333333333333298</v>
      </c>
      <c r="E261" s="2">
        <v>1</v>
      </c>
      <c r="F261" s="2">
        <v>0.33333333333333298</v>
      </c>
      <c r="G261" s="2">
        <v>1</v>
      </c>
    </row>
    <row r="262" spans="1:7" x14ac:dyDescent="0.25">
      <c r="A262" s="2" t="str">
        <f>HYPERLINK("./new_k5/query_cmdrels_weight_analyze/0.4_0.3_0.3/so_30177455.xlsx","so_30177455")</f>
        <v>so_30177455</v>
      </c>
      <c r="B262" s="2">
        <v>0</v>
      </c>
      <c r="C262" s="2">
        <v>0</v>
      </c>
      <c r="D262" s="2">
        <v>0</v>
      </c>
      <c r="E262" s="2">
        <v>0.1111111111111111</v>
      </c>
      <c r="F262" s="2">
        <v>0</v>
      </c>
      <c r="G262" s="2">
        <v>0.1111111111111111</v>
      </c>
    </row>
    <row r="263" spans="1:7" x14ac:dyDescent="0.25">
      <c r="A263" s="2" t="str">
        <f>HYPERLINK("./new_k5/query_cmdrels_weight_analyze/0.4_0.3_0.3/so_30251889.xlsx","so_30251889")</f>
        <v>so_30251889</v>
      </c>
      <c r="B263" s="2">
        <v>0</v>
      </c>
      <c r="C263" s="2">
        <v>0</v>
      </c>
      <c r="D263" s="2">
        <v>0.125</v>
      </c>
      <c r="E263" s="2">
        <v>0.29166666666666657</v>
      </c>
      <c r="F263" s="2">
        <v>0.125</v>
      </c>
      <c r="G263" s="2">
        <v>0.6791666666666667</v>
      </c>
    </row>
    <row r="264" spans="1:7" x14ac:dyDescent="0.25">
      <c r="A264" s="2" t="str">
        <f>HYPERLINK("./new_k5/query_cmdrels_weight_analyze/0.4_0.3_0.3/so_305035.xlsx","so_305035")</f>
        <v>so_305035</v>
      </c>
      <c r="B264" s="2">
        <v>0.5</v>
      </c>
      <c r="C264" s="2">
        <v>0.5</v>
      </c>
      <c r="D264" s="2">
        <v>0.5</v>
      </c>
      <c r="E264" s="2">
        <v>1</v>
      </c>
      <c r="F264" s="2">
        <v>0.5</v>
      </c>
      <c r="G264" s="2">
        <v>1</v>
      </c>
    </row>
    <row r="265" spans="1:7" x14ac:dyDescent="0.25">
      <c r="A265" s="2" t="str">
        <f>HYPERLINK("./new_k5/query_cmdrels_weight_analyze/0.4_0.3_0.3/so_36249744.xlsx","so_36249744")</f>
        <v>so_36249744</v>
      </c>
      <c r="B265" s="2">
        <v>0</v>
      </c>
      <c r="C265" s="2">
        <v>0</v>
      </c>
      <c r="D265" s="2">
        <v>0</v>
      </c>
      <c r="E265" s="2">
        <v>0.33333333333333331</v>
      </c>
      <c r="F265" s="2">
        <v>0</v>
      </c>
      <c r="G265" s="2">
        <v>0.33333333333333331</v>
      </c>
    </row>
    <row r="266" spans="1:7" x14ac:dyDescent="0.25">
      <c r="A266" s="2" t="str">
        <f>HYPERLINK("./new_k5/query_cmdrels_weight_analyze/0.4_0.3_0.3/so_3643848.xlsx","so_3643848")</f>
        <v>so_3643848</v>
      </c>
      <c r="B266" s="2">
        <v>0.5</v>
      </c>
      <c r="C266" s="2">
        <v>0.5</v>
      </c>
      <c r="D266" s="2">
        <v>0.5</v>
      </c>
      <c r="E266" s="2">
        <v>1</v>
      </c>
      <c r="F266" s="2">
        <v>0.5</v>
      </c>
      <c r="G266" s="2">
        <v>1</v>
      </c>
    </row>
    <row r="267" spans="1:7" x14ac:dyDescent="0.25">
      <c r="A267" s="2" t="str">
        <f>HYPERLINK("./new_k5/query_cmdrels_weight_analyze/0.4_0.3_0.3/so_3667329.xlsx","so_3667329")</f>
        <v>so_3667329</v>
      </c>
      <c r="B267" s="2">
        <v>0.33333333333333298</v>
      </c>
      <c r="C267" s="2">
        <v>0.33333333333333331</v>
      </c>
      <c r="D267" s="2">
        <v>0.66666666666666596</v>
      </c>
      <c r="E267" s="2">
        <v>0.33333333333333331</v>
      </c>
      <c r="F267" s="2">
        <v>0.66666666666666596</v>
      </c>
      <c r="G267" s="2">
        <v>0.5</v>
      </c>
    </row>
    <row r="268" spans="1:7" x14ac:dyDescent="0.25">
      <c r="A268" s="2" t="str">
        <f>HYPERLINK("./new_k5/query_cmdrels_weight_analyze/0.4_0.3_0.3/so_369758.xlsx","so_369758")</f>
        <v>so_369758</v>
      </c>
      <c r="B268" s="2">
        <v>0.2</v>
      </c>
      <c r="C268" s="2">
        <v>0.2</v>
      </c>
      <c r="D268" s="2">
        <v>0.4</v>
      </c>
      <c r="E268" s="2">
        <v>0.33333333333333331</v>
      </c>
      <c r="F268" s="2">
        <v>0.4</v>
      </c>
      <c r="G268" s="2">
        <v>0.48333333333333328</v>
      </c>
    </row>
    <row r="269" spans="1:7" x14ac:dyDescent="0.25">
      <c r="A269" s="2" t="str">
        <f>HYPERLINK("./new_k5/query_cmdrels_weight_analyze/0.4_0.3_0.3/so_3756323.xlsx","so_3756323")</f>
        <v>so_3756323</v>
      </c>
      <c r="B269" s="2">
        <v>0</v>
      </c>
      <c r="C269" s="2">
        <v>0.5</v>
      </c>
      <c r="D269" s="2">
        <v>0</v>
      </c>
      <c r="E269" s="2">
        <v>0.5</v>
      </c>
      <c r="F269" s="2">
        <v>0.125</v>
      </c>
      <c r="G269" s="2">
        <v>0.7</v>
      </c>
    </row>
    <row r="270" spans="1:7" x14ac:dyDescent="0.25">
      <c r="A270" s="2" t="str">
        <f>HYPERLINK("./new_k5/query_cmdrels_weight_analyze/0.4_0.3_0.3/so_3767267.xlsx","so_3767267")</f>
        <v>so_3767267</v>
      </c>
      <c r="B270" s="2">
        <v>0</v>
      </c>
      <c r="C270" s="2">
        <v>0</v>
      </c>
      <c r="D270" s="2">
        <v>6.6666666666666596E-2</v>
      </c>
      <c r="E270" s="2">
        <v>0.1</v>
      </c>
      <c r="F270" s="2">
        <v>6.6666666666666596E-2</v>
      </c>
      <c r="G270" s="2">
        <v>0.1</v>
      </c>
    </row>
    <row r="271" spans="1:7" x14ac:dyDescent="0.25">
      <c r="A271" s="2" t="str">
        <f>HYPERLINK("./new_k5/query_cmdrels_weight_analyze/0.4_0.3_0.3/so_3833578.xlsx","so_3833578")</f>
        <v>so_3833578</v>
      </c>
      <c r="B271" s="2">
        <v>0</v>
      </c>
      <c r="C271" s="2">
        <v>0.33333333333333331</v>
      </c>
      <c r="D271" s="2">
        <v>0.11111111111111099</v>
      </c>
      <c r="E271" s="2">
        <v>0.66666666666666663</v>
      </c>
      <c r="F271" s="2">
        <v>0.11111111111111099</v>
      </c>
      <c r="G271" s="2">
        <v>0.66666666666666663</v>
      </c>
    </row>
    <row r="272" spans="1:7" x14ac:dyDescent="0.25">
      <c r="A272" s="2" t="str">
        <f>HYPERLINK("./new_k5/query_cmdrels_weight_analyze/0.4_0.3_0.3/so_3891076.xlsx","so_3891076")</f>
        <v>so_3891076</v>
      </c>
      <c r="B272" s="2">
        <v>0</v>
      </c>
      <c r="C272" s="2">
        <v>0.25</v>
      </c>
      <c r="D272" s="2">
        <v>0</v>
      </c>
      <c r="E272" s="2">
        <v>0.25</v>
      </c>
      <c r="F272" s="2">
        <v>0</v>
      </c>
      <c r="G272" s="2">
        <v>0.52500000000000002</v>
      </c>
    </row>
    <row r="273" spans="1:7" x14ac:dyDescent="0.25">
      <c r="A273" s="2" t="str">
        <f>HYPERLINK("./new_k5/query_cmdrels_weight_analyze/0.4_0.3_0.3/so_3963085.xlsx","so_3963085")</f>
        <v>so_3963085</v>
      </c>
      <c r="B273" s="2">
        <v>0</v>
      </c>
      <c r="C273" s="2">
        <v>0</v>
      </c>
      <c r="D273" s="2">
        <v>0</v>
      </c>
      <c r="E273" s="2">
        <v>0</v>
      </c>
      <c r="F273" s="2">
        <v>0</v>
      </c>
      <c r="G273" s="2">
        <v>0</v>
      </c>
    </row>
    <row r="274" spans="1:7" x14ac:dyDescent="0.25">
      <c r="A274" s="2" t="str">
        <f>HYPERLINK("./new_k5/query_cmdrels_weight_analyze/0.4_0.3_0.3/so_4325216.xlsx","so_4325216")</f>
        <v>so_4325216</v>
      </c>
      <c r="B274" s="2">
        <v>0.5</v>
      </c>
      <c r="C274" s="2">
        <v>0.5</v>
      </c>
      <c r="D274" s="2">
        <v>1</v>
      </c>
      <c r="E274" s="2">
        <v>1</v>
      </c>
      <c r="F274" s="2">
        <v>1</v>
      </c>
      <c r="G274" s="2">
        <v>1</v>
      </c>
    </row>
    <row r="275" spans="1:7" x14ac:dyDescent="0.25">
      <c r="A275" s="2" t="str">
        <f>HYPERLINK("./new_k5/query_cmdrels_weight_analyze/0.4_0.3_0.3/so_448005.xlsx","so_448005")</f>
        <v>so_448005</v>
      </c>
      <c r="B275" s="2">
        <v>0</v>
      </c>
      <c r="C275" s="2">
        <v>1</v>
      </c>
      <c r="D275" s="2">
        <v>0</v>
      </c>
      <c r="E275" s="2">
        <v>1</v>
      </c>
      <c r="F275" s="2">
        <v>0</v>
      </c>
      <c r="G275" s="2">
        <v>1</v>
      </c>
    </row>
    <row r="276" spans="1:7" x14ac:dyDescent="0.25">
      <c r="A276" s="2" t="str">
        <f>HYPERLINK("./new_k5/query_cmdrels_weight_analyze/0.4_0.3_0.3/so_4921879.xlsx","so_4921879")</f>
        <v>so_4921879</v>
      </c>
      <c r="B276" s="2">
        <v>0</v>
      </c>
      <c r="C276" s="2">
        <v>0.14285714285714279</v>
      </c>
      <c r="D276" s="2">
        <v>4.7619047619047603E-2</v>
      </c>
      <c r="E276" s="2">
        <v>0.2857142857142857</v>
      </c>
      <c r="F276" s="2">
        <v>4.7619047619047603E-2</v>
      </c>
      <c r="G276" s="2">
        <v>0.50714285714285712</v>
      </c>
    </row>
    <row r="277" spans="1:7" x14ac:dyDescent="0.25">
      <c r="A277" s="2" t="str">
        <f>HYPERLINK("./new_k5/query_cmdrels_weight_analyze/0.4_0.3_0.3/so_4922943.xlsx","so_4922943")</f>
        <v>so_4922943</v>
      </c>
      <c r="B277" s="2">
        <v>0</v>
      </c>
      <c r="C277" s="2">
        <v>0.2</v>
      </c>
      <c r="D277" s="2">
        <v>0</v>
      </c>
      <c r="E277" s="2">
        <v>0.33333333333333331</v>
      </c>
      <c r="F277" s="2">
        <v>0</v>
      </c>
      <c r="G277" s="2">
        <v>0.33333333333333331</v>
      </c>
    </row>
    <row r="278" spans="1:7" x14ac:dyDescent="0.25">
      <c r="A278" s="2" t="str">
        <f>HYPERLINK("./new_k5/query_cmdrels_weight_analyze/0.4_0.3_0.3/so_5119946.xlsx","so_5119946")</f>
        <v>so_5119946</v>
      </c>
      <c r="B278" s="2">
        <v>0.5</v>
      </c>
      <c r="C278" s="2">
        <v>0</v>
      </c>
      <c r="D278" s="2">
        <v>0.5</v>
      </c>
      <c r="E278" s="2">
        <v>0.58333333333333326</v>
      </c>
      <c r="F278" s="2">
        <v>0.5</v>
      </c>
      <c r="G278" s="2">
        <v>0.58333333333333326</v>
      </c>
    </row>
    <row r="279" spans="1:7" x14ac:dyDescent="0.25">
      <c r="A279" s="2" t="str">
        <f>HYPERLINK("./new_k5/query_cmdrels_weight_analyze/0.4_0.3_0.3/so_5164985.xlsx","so_5164985")</f>
        <v>so_5164985</v>
      </c>
      <c r="B279" s="2">
        <v>0.33333333333333298</v>
      </c>
      <c r="C279" s="2">
        <v>0</v>
      </c>
      <c r="D279" s="2">
        <v>0.33333333333333298</v>
      </c>
      <c r="E279" s="2">
        <v>0.16666666666666671</v>
      </c>
      <c r="F279" s="2">
        <v>0.33333333333333298</v>
      </c>
      <c r="G279" s="2">
        <v>0.16666666666666671</v>
      </c>
    </row>
    <row r="280" spans="1:7" x14ac:dyDescent="0.25">
      <c r="A280" s="2" t="str">
        <f>HYPERLINK("./new_k5/query_cmdrels_weight_analyze/0.4_0.3_0.3/so_5306153.xlsx","so_5306153")</f>
        <v>so_5306153</v>
      </c>
      <c r="B280" s="2">
        <v>0</v>
      </c>
      <c r="C280" s="2">
        <v>1</v>
      </c>
      <c r="D280" s="2">
        <v>0</v>
      </c>
      <c r="E280" s="2">
        <v>1</v>
      </c>
      <c r="F280" s="2">
        <v>0</v>
      </c>
      <c r="G280" s="2">
        <v>1</v>
      </c>
    </row>
    <row r="281" spans="1:7" x14ac:dyDescent="0.25">
      <c r="A281" s="2" t="str">
        <f>HYPERLINK("./new_k5/query_cmdrels_weight_analyze/0.4_0.3_0.3/so_5566310.xlsx","so_5566310")</f>
        <v>so_5566310</v>
      </c>
      <c r="B281" s="2">
        <v>0.5</v>
      </c>
      <c r="C281" s="2">
        <v>0.5</v>
      </c>
      <c r="D281" s="2">
        <v>0.5</v>
      </c>
      <c r="E281" s="2">
        <v>0.5</v>
      </c>
      <c r="F281" s="2">
        <v>0.5</v>
      </c>
      <c r="G281" s="2">
        <v>0.5</v>
      </c>
    </row>
    <row r="282" spans="1:7" x14ac:dyDescent="0.25">
      <c r="A282" s="2" t="str">
        <f>HYPERLINK("./new_k5/query_cmdrels_weight_analyze/0.4_0.3_0.3/so_5927369.xlsx","so_5927369")</f>
        <v>so_5927369</v>
      </c>
      <c r="B282" s="2">
        <v>1</v>
      </c>
      <c r="C282" s="2">
        <v>1</v>
      </c>
      <c r="D282" s="2">
        <v>1</v>
      </c>
      <c r="E282" s="2">
        <v>1</v>
      </c>
      <c r="F282" s="2">
        <v>1</v>
      </c>
      <c r="G282" s="2">
        <v>1</v>
      </c>
    </row>
    <row r="283" spans="1:7" x14ac:dyDescent="0.25">
      <c r="A283" s="2" t="str">
        <f>HYPERLINK("./new_k5/query_cmdrels_weight_analyze/0.4_0.3_0.3/so_5947742.xlsx","so_5947742")</f>
        <v>so_5947742</v>
      </c>
      <c r="B283" s="2">
        <v>0</v>
      </c>
      <c r="C283" s="2">
        <v>0.33333333333333331</v>
      </c>
      <c r="D283" s="2">
        <v>0</v>
      </c>
      <c r="E283" s="2">
        <v>0.33333333333333331</v>
      </c>
      <c r="F283" s="2">
        <v>0</v>
      </c>
      <c r="G283" s="2">
        <v>0.5</v>
      </c>
    </row>
    <row r="284" spans="1:7" x14ac:dyDescent="0.25">
      <c r="A284" s="2" t="str">
        <f>HYPERLINK("./new_k5/query_cmdrels_weight_analyze/0.4_0.3_0.3/so_614795.xlsx","so_614795")</f>
        <v>so_614795</v>
      </c>
      <c r="B284" s="2">
        <v>0</v>
      </c>
      <c r="C284" s="2">
        <v>0.33333333333333331</v>
      </c>
      <c r="D284" s="2">
        <v>0</v>
      </c>
      <c r="E284" s="2">
        <v>0.33333333333333331</v>
      </c>
      <c r="F284" s="2">
        <v>0</v>
      </c>
      <c r="G284" s="2">
        <v>0.33333333333333331</v>
      </c>
    </row>
    <row r="285" spans="1:7" x14ac:dyDescent="0.25">
      <c r="A285" s="2" t="str">
        <f>HYPERLINK("./new_k5/query_cmdrels_weight_analyze/0.4_0.3_0.3/so_6207573.xlsx","so_6207573")</f>
        <v>so_6207573</v>
      </c>
      <c r="B285" s="2">
        <v>0.14285714285714199</v>
      </c>
      <c r="C285" s="2">
        <v>0.14285714285714279</v>
      </c>
      <c r="D285" s="2">
        <v>0.238095238095238</v>
      </c>
      <c r="E285" s="2">
        <v>0.42857142857142849</v>
      </c>
      <c r="F285" s="2">
        <v>0.32380952380952299</v>
      </c>
      <c r="G285" s="2">
        <v>0.42857142857142849</v>
      </c>
    </row>
    <row r="286" spans="1:7" x14ac:dyDescent="0.25">
      <c r="A286" s="2" t="str">
        <f>HYPERLINK("./new_k5/query_cmdrels_weight_analyze/0.4_0.3_0.3/so_6283167.xlsx","so_6283167")</f>
        <v>so_6283167</v>
      </c>
      <c r="B286" s="2">
        <v>0</v>
      </c>
      <c r="C286" s="2">
        <v>0.25</v>
      </c>
      <c r="D286" s="2">
        <v>8.3333333333333301E-2</v>
      </c>
      <c r="E286" s="2">
        <v>0.5</v>
      </c>
      <c r="F286" s="2">
        <v>8.3333333333333301E-2</v>
      </c>
      <c r="G286" s="2">
        <v>0.5</v>
      </c>
    </row>
    <row r="287" spans="1:7" x14ac:dyDescent="0.25">
      <c r="A287" s="2" t="str">
        <f>HYPERLINK("./new_k5/query_cmdrels_weight_analyze/0.4_0.3_0.3/so_6329505.xlsx","so_6329505")</f>
        <v>so_6329505</v>
      </c>
      <c r="B287" s="2">
        <v>0</v>
      </c>
      <c r="C287" s="2">
        <v>0</v>
      </c>
      <c r="D287" s="2">
        <v>0.1</v>
      </c>
      <c r="E287" s="2">
        <v>0.1</v>
      </c>
      <c r="F287" s="2">
        <v>0.32</v>
      </c>
      <c r="G287" s="2">
        <v>0.1</v>
      </c>
    </row>
    <row r="288" spans="1:7" x14ac:dyDescent="0.25">
      <c r="A288" s="2" t="str">
        <f>HYPERLINK("./new_k5/query_cmdrels_weight_analyze/0.4_0.3_0.3/so_6423532.xlsx","so_6423532")</f>
        <v>so_6423532</v>
      </c>
      <c r="B288" s="2">
        <v>0.5</v>
      </c>
      <c r="C288" s="2">
        <v>0.5</v>
      </c>
      <c r="D288" s="2">
        <v>0.5</v>
      </c>
      <c r="E288" s="2">
        <v>0.5</v>
      </c>
      <c r="F288" s="2">
        <v>0.75</v>
      </c>
      <c r="G288" s="2">
        <v>0.5</v>
      </c>
    </row>
    <row r="289" spans="1:7" x14ac:dyDescent="0.25">
      <c r="A289" s="2" t="str">
        <f>HYPERLINK("./new_k5/query_cmdrels_weight_analyze/0.4_0.3_0.3/so_669438.xlsx","so_669438")</f>
        <v>so_669438</v>
      </c>
      <c r="B289" s="2">
        <v>0</v>
      </c>
      <c r="C289" s="2">
        <v>0.2</v>
      </c>
      <c r="D289" s="2">
        <v>6.6666666666666596E-2</v>
      </c>
      <c r="E289" s="2">
        <v>0.33333333333333331</v>
      </c>
      <c r="F289" s="2">
        <v>6.6666666666666596E-2</v>
      </c>
      <c r="G289" s="2">
        <v>0.33333333333333331</v>
      </c>
    </row>
    <row r="290" spans="1:7" x14ac:dyDescent="0.25">
      <c r="A290" s="2" t="str">
        <f>HYPERLINK("./new_k5/query_cmdrels_weight_analyze/0.4_0.3_0.3/so_7052875.xlsx","so_7052875")</f>
        <v>so_7052875</v>
      </c>
      <c r="B290" s="2">
        <v>0</v>
      </c>
      <c r="C290" s="2">
        <v>0</v>
      </c>
      <c r="D290" s="2">
        <v>0</v>
      </c>
      <c r="E290" s="2">
        <v>0.1</v>
      </c>
      <c r="F290" s="2">
        <v>0</v>
      </c>
      <c r="G290" s="2">
        <v>0.18</v>
      </c>
    </row>
    <row r="291" spans="1:7" x14ac:dyDescent="0.25">
      <c r="A291" s="2" t="str">
        <f>HYPERLINK("./new_k5/query_cmdrels_weight_analyze/0.4_0.3_0.3/so_7221757.xlsx","so_7221757")</f>
        <v>so_7221757</v>
      </c>
      <c r="B291" s="2">
        <v>0</v>
      </c>
      <c r="C291" s="2">
        <v>0.2</v>
      </c>
      <c r="D291" s="2">
        <v>0</v>
      </c>
      <c r="E291" s="2">
        <v>0.4</v>
      </c>
      <c r="F291" s="2">
        <v>0.05</v>
      </c>
      <c r="G291" s="2">
        <v>0.4</v>
      </c>
    </row>
    <row r="292" spans="1:7" x14ac:dyDescent="0.25">
      <c r="A292" s="2" t="str">
        <f>HYPERLINK("./new_k5/query_cmdrels_weight_analyze/0.4_0.3_0.3/so_750604.xlsx","so_750604")</f>
        <v>so_750604</v>
      </c>
      <c r="B292" s="2">
        <v>0</v>
      </c>
      <c r="C292" s="2">
        <v>0</v>
      </c>
      <c r="D292" s="2">
        <v>0</v>
      </c>
      <c r="E292" s="2">
        <v>0.16666666666666671</v>
      </c>
      <c r="F292" s="2">
        <v>0</v>
      </c>
      <c r="G292" s="2">
        <v>0.33333333333333331</v>
      </c>
    </row>
    <row r="293" spans="1:7" x14ac:dyDescent="0.25">
      <c r="A293" s="2" t="str">
        <f>HYPERLINK("./new_k5/query_cmdrels_weight_analyze/0.4_0.3_0.3/so_7575267.xlsx","so_7575267")</f>
        <v>so_7575267</v>
      </c>
      <c r="B293" s="2">
        <v>0</v>
      </c>
      <c r="C293" s="2">
        <v>0.25</v>
      </c>
      <c r="D293" s="2">
        <v>0</v>
      </c>
      <c r="E293" s="2">
        <v>0.75</v>
      </c>
      <c r="F293" s="2">
        <v>0</v>
      </c>
      <c r="G293" s="2">
        <v>0.75</v>
      </c>
    </row>
    <row r="294" spans="1:7" x14ac:dyDescent="0.25">
      <c r="A294" s="2" t="str">
        <f>HYPERLINK("./new_k5/query_cmdrels_weight_analyze/0.4_0.3_0.3/so_7698488.xlsx","so_7698488")</f>
        <v>so_7698488</v>
      </c>
      <c r="B294" s="2">
        <v>0</v>
      </c>
      <c r="C294" s="2">
        <v>0</v>
      </c>
      <c r="D294" s="2">
        <v>0</v>
      </c>
      <c r="E294" s="2">
        <v>0</v>
      </c>
      <c r="F294" s="2">
        <v>0</v>
      </c>
      <c r="G294" s="2">
        <v>0.16250000000000001</v>
      </c>
    </row>
    <row r="295" spans="1:7" x14ac:dyDescent="0.25">
      <c r="A295" s="2" t="str">
        <f>HYPERLINK("./new_k5/query_cmdrels_weight_analyze/0.4_0.3_0.3/so_801095.xlsx","so_801095")</f>
        <v>so_801095</v>
      </c>
      <c r="B295" s="2">
        <v>0.33333333333333298</v>
      </c>
      <c r="C295" s="2">
        <v>0.33333333333333331</v>
      </c>
      <c r="D295" s="2">
        <v>0.33333333333333298</v>
      </c>
      <c r="E295" s="2">
        <v>0.33333333333333331</v>
      </c>
      <c r="F295" s="2">
        <v>0.46666666666666601</v>
      </c>
      <c r="G295" s="2">
        <v>0.5</v>
      </c>
    </row>
    <row r="296" spans="1:7" x14ac:dyDescent="0.25">
      <c r="A296" s="2" t="str">
        <f>HYPERLINK("./new_k5/query_cmdrels_weight_analyze/0.4_0.3_0.3/so_8249705.xlsx","so_8249705")</f>
        <v>so_8249705</v>
      </c>
      <c r="B296" s="2">
        <v>0</v>
      </c>
      <c r="C296" s="2">
        <v>0.5</v>
      </c>
      <c r="D296" s="2">
        <v>0.16666666666666599</v>
      </c>
      <c r="E296" s="2">
        <v>1</v>
      </c>
      <c r="F296" s="2">
        <v>0.16666666666666599</v>
      </c>
      <c r="G296" s="2">
        <v>1</v>
      </c>
    </row>
    <row r="297" spans="1:7" x14ac:dyDescent="0.25">
      <c r="A297" s="2" t="str">
        <f>HYPERLINK("./new_k5/query_cmdrels_weight_analyze/0.4_0.3_0.3/so_8423541.xlsx","so_8423541")</f>
        <v>so_8423541</v>
      </c>
      <c r="B297" s="2">
        <v>0</v>
      </c>
      <c r="C297" s="2">
        <v>0.33333333333333331</v>
      </c>
      <c r="D297" s="2">
        <v>0.38888888888888801</v>
      </c>
      <c r="E297" s="2">
        <v>0.66666666666666663</v>
      </c>
      <c r="F297" s="2">
        <v>0.38888888888888801</v>
      </c>
      <c r="G297" s="2">
        <v>0.66666666666666663</v>
      </c>
    </row>
    <row r="298" spans="1:7" x14ac:dyDescent="0.25">
      <c r="A298" s="2" t="str">
        <f>HYPERLINK("./new_k5/query_cmdrels_weight_analyze/0.4_0.3_0.3/so_8654051.xlsx","so_8654051")</f>
        <v>so_8654051</v>
      </c>
      <c r="B298" s="2">
        <v>0</v>
      </c>
      <c r="C298" s="2">
        <v>0.25</v>
      </c>
      <c r="D298" s="2">
        <v>0</v>
      </c>
      <c r="E298" s="2">
        <v>0.5</v>
      </c>
      <c r="F298" s="2">
        <v>0</v>
      </c>
      <c r="G298" s="2">
        <v>0.6875</v>
      </c>
    </row>
    <row r="299" spans="1:7" x14ac:dyDescent="0.25">
      <c r="A299" s="2" t="str">
        <f>HYPERLINK("./new_k5/query_cmdrels_weight_analyze/0.4_0.3_0.3/so_890262.xlsx","so_890262")</f>
        <v>so_890262</v>
      </c>
      <c r="B299" s="2">
        <v>0.33333333333333298</v>
      </c>
      <c r="C299" s="2">
        <v>0</v>
      </c>
      <c r="D299" s="2">
        <v>0.66666666666666596</v>
      </c>
      <c r="E299" s="2">
        <v>0.38888888888888878</v>
      </c>
      <c r="F299" s="2">
        <v>0.91666666666666596</v>
      </c>
      <c r="G299" s="2">
        <v>0.38888888888888878</v>
      </c>
    </row>
    <row r="300" spans="1:7" x14ac:dyDescent="0.25">
      <c r="A300" s="2" t="str">
        <f>HYPERLINK("./new_k5/query_cmdrels_weight_analyze/0.4_0.3_0.3/so_893585.xlsx","so_893585")</f>
        <v>so_893585</v>
      </c>
      <c r="B300" s="2">
        <v>0.14285714285714199</v>
      </c>
      <c r="C300" s="2">
        <v>0.14285714285714279</v>
      </c>
      <c r="D300" s="2">
        <v>0.14285714285714199</v>
      </c>
      <c r="E300" s="2">
        <v>0.42857142857142849</v>
      </c>
      <c r="F300" s="2">
        <v>0.214285714285714</v>
      </c>
      <c r="G300" s="2">
        <v>0.42857142857142849</v>
      </c>
    </row>
    <row r="301" spans="1:7" x14ac:dyDescent="0.25">
      <c r="A301" s="2" t="str">
        <f>HYPERLINK("./new_k5/query_cmdrels_weight_analyze/0.4_0.3_0.3/so_9223460.xlsx","so_9223460")</f>
        <v>so_9223460</v>
      </c>
      <c r="B301" s="2">
        <v>0.33333333333333298</v>
      </c>
      <c r="C301" s="2">
        <v>0</v>
      </c>
      <c r="D301" s="2">
        <v>0.33333333333333298</v>
      </c>
      <c r="E301" s="2">
        <v>0.16666666666666671</v>
      </c>
      <c r="F301" s="2">
        <v>0.33333333333333298</v>
      </c>
      <c r="G301" s="2">
        <v>0.33333333333333331</v>
      </c>
    </row>
    <row r="302" spans="1:7" x14ac:dyDescent="0.25">
      <c r="A302" s="2" t="str">
        <f>HYPERLINK("./new_k5/query_cmdrels_weight_analyze/0.4_0.3_0.3/so_9245638.xlsx","so_9245638")</f>
        <v>so_9245638</v>
      </c>
      <c r="B302" s="2">
        <v>0</v>
      </c>
      <c r="C302" s="2">
        <v>0.33333333333333331</v>
      </c>
      <c r="D302" s="2">
        <v>0</v>
      </c>
      <c r="E302" s="2">
        <v>0.33333333333333331</v>
      </c>
      <c r="F302" s="2">
        <v>6.6666666666666596E-2</v>
      </c>
      <c r="G302" s="2">
        <v>0.5</v>
      </c>
    </row>
    <row r="303" spans="1:7" x14ac:dyDescent="0.25">
      <c r="A303" s="2" t="str">
        <f>HYPERLINK("./new_k5/query_cmdrels_weight_analyze/0.4_0.3_0.3/so_9304953.xlsx","so_9304953")</f>
        <v>so_9304953</v>
      </c>
      <c r="B303" s="2">
        <v>0.2</v>
      </c>
      <c r="C303" s="2">
        <v>0.2</v>
      </c>
      <c r="D303" s="2">
        <v>0.2</v>
      </c>
      <c r="E303" s="2">
        <v>0.6</v>
      </c>
      <c r="F303" s="2">
        <v>0.42</v>
      </c>
      <c r="G303" s="2">
        <v>0.8</v>
      </c>
    </row>
    <row r="304" spans="1:7" x14ac:dyDescent="0.25">
      <c r="A304" s="2" t="str">
        <f>HYPERLINK("./new_k5/query_cmdrels_weight_analyze/0.4_0.3_0.3/so_9361816.xlsx","so_9361816")</f>
        <v>so_9361816</v>
      </c>
      <c r="B304" s="2">
        <v>0</v>
      </c>
      <c r="C304" s="2">
        <v>0</v>
      </c>
      <c r="D304" s="2">
        <v>0</v>
      </c>
      <c r="E304" s="2">
        <v>0</v>
      </c>
      <c r="F304" s="2">
        <v>0</v>
      </c>
      <c r="G304" s="2">
        <v>0</v>
      </c>
    </row>
    <row r="305" spans="1:7" x14ac:dyDescent="0.25">
      <c r="A305" s="2" t="str">
        <f>HYPERLINK("./new_k5/query_cmdrels_weight_analyze/0.4_0.3_0.3/su_116617.xlsx","su_116617")</f>
        <v>su_116617</v>
      </c>
      <c r="B305" s="2">
        <v>0</v>
      </c>
      <c r="C305" s="2">
        <v>0.33333333333333331</v>
      </c>
      <c r="D305" s="2">
        <v>0.16666666666666599</v>
      </c>
      <c r="E305" s="2">
        <v>0.33333333333333331</v>
      </c>
      <c r="F305" s="2">
        <v>0.16666666666666599</v>
      </c>
      <c r="G305" s="2">
        <v>0.33333333333333331</v>
      </c>
    </row>
    <row r="306" spans="1:7" x14ac:dyDescent="0.25">
      <c r="A306" s="2" t="str">
        <f>HYPERLINK("./new_k5/query_cmdrels_weight_analyze/0.4_0.3_0.3/su_120045.xlsx","su_120045")</f>
        <v>su_120045</v>
      </c>
      <c r="B306" s="2">
        <v>0</v>
      </c>
      <c r="C306" s="2">
        <v>0</v>
      </c>
      <c r="D306" s="2">
        <v>0</v>
      </c>
      <c r="E306" s="2">
        <v>0</v>
      </c>
      <c r="F306" s="2">
        <v>0</v>
      </c>
      <c r="G306" s="2">
        <v>0.2</v>
      </c>
    </row>
    <row r="307" spans="1:7" x14ac:dyDescent="0.25">
      <c r="A307" s="2" t="str">
        <f>HYPERLINK("./new_k5/query_cmdrels_weight_analyze/0.4_0.3_0.3/su_127863.xlsx","su_127863")</f>
        <v>su_127863</v>
      </c>
      <c r="B307" s="2">
        <v>0</v>
      </c>
      <c r="C307" s="2">
        <v>0</v>
      </c>
      <c r="D307" s="2">
        <v>0</v>
      </c>
      <c r="E307" s="2">
        <v>0.25</v>
      </c>
      <c r="F307" s="2">
        <v>0</v>
      </c>
      <c r="G307" s="2">
        <v>0.45</v>
      </c>
    </row>
    <row r="308" spans="1:7" x14ac:dyDescent="0.25">
      <c r="A308" s="2" t="str">
        <f>HYPERLINK("./new_k5/query_cmdrels_weight_analyze/0.4_0.3_0.3/su_135498.xlsx","su_135498")</f>
        <v>su_135498</v>
      </c>
      <c r="B308" s="2">
        <v>0</v>
      </c>
      <c r="C308" s="2">
        <v>0</v>
      </c>
      <c r="D308" s="2">
        <v>0</v>
      </c>
      <c r="E308" s="2">
        <v>0</v>
      </c>
      <c r="F308" s="2">
        <v>0</v>
      </c>
      <c r="G308" s="2">
        <v>0</v>
      </c>
    </row>
    <row r="309" spans="1:7" x14ac:dyDescent="0.25">
      <c r="A309" s="2" t="str">
        <f>HYPERLINK("./new_k5/query_cmdrels_weight_analyze/0.4_0.3_0.3/su_147027.xlsx","su_147027")</f>
        <v>su_147027</v>
      </c>
      <c r="B309" s="2">
        <v>0</v>
      </c>
      <c r="C309" s="2">
        <v>0</v>
      </c>
      <c r="D309" s="2">
        <v>0.5</v>
      </c>
      <c r="E309" s="2">
        <v>0</v>
      </c>
      <c r="F309" s="2">
        <v>0.5</v>
      </c>
      <c r="G309" s="2">
        <v>0</v>
      </c>
    </row>
    <row r="310" spans="1:7" x14ac:dyDescent="0.25">
      <c r="A310" s="2" t="str">
        <f>HYPERLINK("./new_k5/query_cmdrels_weight_analyze/0.4_0.3_0.3/su_151911.xlsx","su_151911")</f>
        <v>su_151911</v>
      </c>
      <c r="B310" s="2">
        <v>0.25</v>
      </c>
      <c r="C310" s="2">
        <v>0</v>
      </c>
      <c r="D310" s="2">
        <v>0.25</v>
      </c>
      <c r="E310" s="2">
        <v>8.3333333333333329E-2</v>
      </c>
      <c r="F310" s="2">
        <v>0.25</v>
      </c>
      <c r="G310" s="2">
        <v>8.3333333333333329E-2</v>
      </c>
    </row>
    <row r="311" spans="1:7" x14ac:dyDescent="0.25">
      <c r="A311" s="2" t="str">
        <f>HYPERLINK("./new_k5/query_cmdrels_weight_analyze/0.4_0.3_0.3/su_153415.xlsx","su_153415")</f>
        <v>su_153415</v>
      </c>
      <c r="B311" s="2">
        <v>0</v>
      </c>
      <c r="C311" s="2">
        <v>0.5</v>
      </c>
      <c r="D311" s="2">
        <v>0</v>
      </c>
      <c r="E311" s="2">
        <v>0.5</v>
      </c>
      <c r="F311" s="2">
        <v>0</v>
      </c>
      <c r="G311" s="2">
        <v>0.5</v>
      </c>
    </row>
    <row r="312" spans="1:7" x14ac:dyDescent="0.25">
      <c r="A312" s="2" t="str">
        <f>HYPERLINK("./new_k5/query_cmdrels_weight_analyze/0.4_0.3_0.3/su_156189.xlsx","su_156189")</f>
        <v>su_156189</v>
      </c>
      <c r="B312" s="2">
        <v>0</v>
      </c>
      <c r="C312" s="2">
        <v>0.16666666666666671</v>
      </c>
      <c r="D312" s="2">
        <v>0</v>
      </c>
      <c r="E312" s="2">
        <v>0.27777777777777768</v>
      </c>
      <c r="F312" s="2">
        <v>0</v>
      </c>
      <c r="G312" s="2">
        <v>0.27777777777777768</v>
      </c>
    </row>
    <row r="313" spans="1:7" x14ac:dyDescent="0.25">
      <c r="A313" s="2" t="str">
        <f>HYPERLINK("./new_k5/query_cmdrels_weight_analyze/0.4_0.3_0.3/su_161531.xlsx","su_161531")</f>
        <v>su_161531</v>
      </c>
      <c r="B313" s="2">
        <v>0.33333333333333298</v>
      </c>
      <c r="C313" s="2">
        <v>0.33333333333333331</v>
      </c>
      <c r="D313" s="2">
        <v>0.33333333333333298</v>
      </c>
      <c r="E313" s="2">
        <v>0.66666666666666663</v>
      </c>
      <c r="F313" s="2">
        <v>0.33333333333333298</v>
      </c>
      <c r="G313" s="2">
        <v>0.91666666666666663</v>
      </c>
    </row>
    <row r="314" spans="1:7" x14ac:dyDescent="0.25">
      <c r="A314" s="2" t="str">
        <f>HYPERLINK("./new_k5/query_cmdrels_weight_analyze/0.4_0.3_0.3/su_204209.xlsx","su_204209")</f>
        <v>su_204209</v>
      </c>
      <c r="B314" s="2">
        <v>0</v>
      </c>
      <c r="C314" s="2">
        <v>0</v>
      </c>
      <c r="D314" s="2">
        <v>0</v>
      </c>
      <c r="E314" s="2">
        <v>0</v>
      </c>
      <c r="F314" s="2">
        <v>0</v>
      </c>
      <c r="G314" s="2">
        <v>0</v>
      </c>
    </row>
    <row r="315" spans="1:7" x14ac:dyDescent="0.25">
      <c r="A315" s="2" t="str">
        <f>HYPERLINK("./new_k5/query_cmdrels_weight_analyze/0.4_0.3_0.3/su_214390.xlsx","su_214390")</f>
        <v>su_214390</v>
      </c>
      <c r="B315" s="2">
        <v>1</v>
      </c>
      <c r="C315" s="2">
        <v>0</v>
      </c>
      <c r="D315" s="2">
        <v>1</v>
      </c>
      <c r="E315" s="2">
        <v>0.5</v>
      </c>
      <c r="F315" s="2">
        <v>1</v>
      </c>
      <c r="G315" s="2">
        <v>0.5</v>
      </c>
    </row>
    <row r="316" spans="1:7" x14ac:dyDescent="0.25">
      <c r="A316" s="2" t="str">
        <f>HYPERLINK("./new_k5/query_cmdrels_weight_analyze/0.4_0.3_0.3/su_215483.xlsx","su_215483")</f>
        <v>su_215483</v>
      </c>
      <c r="B316" s="2">
        <v>0</v>
      </c>
      <c r="C316" s="2">
        <v>0.5</v>
      </c>
      <c r="D316" s="2">
        <v>0.25</v>
      </c>
      <c r="E316" s="2">
        <v>0.83333333333333326</v>
      </c>
      <c r="F316" s="2">
        <v>0.25</v>
      </c>
      <c r="G316" s="2">
        <v>0.83333333333333326</v>
      </c>
    </row>
    <row r="317" spans="1:7" x14ac:dyDescent="0.25">
      <c r="A317" s="2" t="str">
        <f>HYPERLINK("./new_k5/query_cmdrels_weight_analyze/0.4_0.3_0.3/su_215504.xlsx","su_215504")</f>
        <v>su_215504</v>
      </c>
      <c r="B317" s="2">
        <v>0</v>
      </c>
      <c r="C317" s="2">
        <v>0</v>
      </c>
      <c r="D317" s="2">
        <v>0.125</v>
      </c>
      <c r="E317" s="2">
        <v>0.29166666666666657</v>
      </c>
      <c r="F317" s="2">
        <v>0.125</v>
      </c>
      <c r="G317" s="2">
        <v>0.47916666666666657</v>
      </c>
    </row>
    <row r="318" spans="1:7" x14ac:dyDescent="0.25">
      <c r="A318" s="2" t="str">
        <f>HYPERLINK("./new_k5/query_cmdrels_weight_analyze/0.4_0.3_0.3/su_227385.xlsx","su_227385")</f>
        <v>su_227385</v>
      </c>
      <c r="B318" s="2">
        <v>0</v>
      </c>
      <c r="C318" s="2">
        <v>0</v>
      </c>
      <c r="D318" s="2">
        <v>8.3333333333333301E-2</v>
      </c>
      <c r="E318" s="2">
        <v>0.29166666666666657</v>
      </c>
      <c r="F318" s="2">
        <v>0.18333333333333299</v>
      </c>
      <c r="G318" s="2">
        <v>0.6791666666666667</v>
      </c>
    </row>
    <row r="319" spans="1:7" x14ac:dyDescent="0.25">
      <c r="A319" s="2" t="str">
        <f>HYPERLINK("./new_k5/query_cmdrels_weight_analyze/0.4_0.3_0.3/su_273254.xlsx","su_273254")</f>
        <v>su_273254</v>
      </c>
      <c r="B319" s="2">
        <v>1</v>
      </c>
      <c r="C319" s="2">
        <v>1</v>
      </c>
      <c r="D319" s="2">
        <v>1</v>
      </c>
      <c r="E319" s="2">
        <v>1</v>
      </c>
      <c r="F319" s="2">
        <v>1</v>
      </c>
      <c r="G319" s="2">
        <v>1</v>
      </c>
    </row>
    <row r="320" spans="1:7" x14ac:dyDescent="0.25">
      <c r="A320" s="2" t="str">
        <f>HYPERLINK("./new_k5/query_cmdrels_weight_analyze/0.4_0.3_0.3/su_294161.xlsx","su_294161")</f>
        <v>su_294161</v>
      </c>
      <c r="B320" s="2">
        <v>0.33333333333333298</v>
      </c>
      <c r="C320" s="2">
        <v>0.33333333333333331</v>
      </c>
      <c r="D320" s="2">
        <v>1</v>
      </c>
      <c r="E320" s="2">
        <v>0.66666666666666663</v>
      </c>
      <c r="F320" s="2">
        <v>1</v>
      </c>
      <c r="G320" s="2">
        <v>0.91666666666666663</v>
      </c>
    </row>
    <row r="321" spans="1:7" x14ac:dyDescent="0.25">
      <c r="A321" s="2" t="str">
        <f>HYPERLINK("./new_k5/query_cmdrels_weight_analyze/0.4_0.3_0.3/su_302396.xlsx","su_302396")</f>
        <v>su_302396</v>
      </c>
      <c r="B321" s="2">
        <v>0.16666666666666599</v>
      </c>
      <c r="C321" s="2">
        <v>0.16666666666666671</v>
      </c>
      <c r="D321" s="2">
        <v>0.16666666666666599</v>
      </c>
      <c r="E321" s="2">
        <v>0.5</v>
      </c>
      <c r="F321" s="2">
        <v>0.16666666666666599</v>
      </c>
      <c r="G321" s="2">
        <v>0.6333333333333333</v>
      </c>
    </row>
    <row r="322" spans="1:7" x14ac:dyDescent="0.25">
      <c r="A322" s="2" t="str">
        <f>HYPERLINK("./new_k5/query_cmdrels_weight_analyze/0.4_0.3_0.3/su_303981.xlsx","su_303981")</f>
        <v>su_303981</v>
      </c>
      <c r="B322" s="2">
        <v>0</v>
      </c>
      <c r="C322" s="2">
        <v>0.16666666666666671</v>
      </c>
      <c r="D322" s="2">
        <v>0</v>
      </c>
      <c r="E322" s="2">
        <v>0.33333333333333331</v>
      </c>
      <c r="F322" s="2">
        <v>0</v>
      </c>
      <c r="G322" s="2">
        <v>0.33333333333333331</v>
      </c>
    </row>
    <row r="323" spans="1:7" x14ac:dyDescent="0.25">
      <c r="A323" s="2" t="str">
        <f>HYPERLINK("./new_k5/query_cmdrels_weight_analyze/0.4_0.3_0.3/su_305128.xlsx","su_305128")</f>
        <v>su_305128</v>
      </c>
      <c r="B323" s="2">
        <v>0.5</v>
      </c>
      <c r="C323" s="2">
        <v>0.5</v>
      </c>
      <c r="D323" s="2">
        <v>0.5</v>
      </c>
      <c r="E323" s="2">
        <v>0.5</v>
      </c>
      <c r="F323" s="2">
        <v>0.5</v>
      </c>
      <c r="G323" s="2">
        <v>0.5</v>
      </c>
    </row>
    <row r="324" spans="1:7" x14ac:dyDescent="0.25">
      <c r="A324" s="2" t="str">
        <f>HYPERLINK("./new_k5/query_cmdrels_weight_analyze/0.4_0.3_0.3/su_31512.xlsx","su_31512")</f>
        <v>su_31512</v>
      </c>
      <c r="B324" s="2">
        <v>0.25</v>
      </c>
      <c r="C324" s="2">
        <v>0.25</v>
      </c>
      <c r="D324" s="2">
        <v>0.25</v>
      </c>
      <c r="E324" s="2">
        <v>0.25</v>
      </c>
      <c r="F324" s="2">
        <v>0.25</v>
      </c>
      <c r="G324" s="2">
        <v>0.25</v>
      </c>
    </row>
    <row r="325" spans="1:7" x14ac:dyDescent="0.25">
      <c r="A325" s="2" t="str">
        <f>HYPERLINK("./new_k5/query_cmdrels_weight_analyze/0.4_0.3_0.3/su_380520.xlsx","su_380520")</f>
        <v>su_380520</v>
      </c>
      <c r="B325" s="2">
        <v>0</v>
      </c>
      <c r="C325" s="2">
        <v>0</v>
      </c>
      <c r="D325" s="2">
        <v>0</v>
      </c>
      <c r="E325" s="2">
        <v>0.16666666666666671</v>
      </c>
      <c r="F325" s="2">
        <v>0</v>
      </c>
      <c r="G325" s="2">
        <v>0.33333333333333331</v>
      </c>
    </row>
    <row r="326" spans="1:7" x14ac:dyDescent="0.25">
      <c r="A326" s="2" t="str">
        <f>HYPERLINK("./new_k5/query_cmdrels_weight_analyze/0.4_0.3_0.3/su_38981.xlsx","su_38981")</f>
        <v>su_38981</v>
      </c>
      <c r="B326" s="2">
        <v>0.33333333333333298</v>
      </c>
      <c r="C326" s="2">
        <v>0.33333333333333331</v>
      </c>
      <c r="D326" s="2">
        <v>0.33333333333333298</v>
      </c>
      <c r="E326" s="2">
        <v>0.66666666666666663</v>
      </c>
      <c r="F326" s="2">
        <v>0.33333333333333298</v>
      </c>
      <c r="G326" s="2">
        <v>0.66666666666666663</v>
      </c>
    </row>
    <row r="327" spans="1:7" x14ac:dyDescent="0.25">
      <c r="A327" s="2" t="str">
        <f>HYPERLINK("./new_k5/query_cmdrels_weight_analyze/0.4_0.3_0.3/su_437330.xlsx","su_437330")</f>
        <v>su_437330</v>
      </c>
      <c r="B327" s="2">
        <v>0</v>
      </c>
      <c r="C327" s="2">
        <v>0.33333333333333331</v>
      </c>
      <c r="D327" s="2">
        <v>0</v>
      </c>
      <c r="E327" s="2">
        <v>0.33333333333333331</v>
      </c>
      <c r="F327" s="2">
        <v>0</v>
      </c>
      <c r="G327" s="2">
        <v>0.33333333333333331</v>
      </c>
    </row>
    <row r="328" spans="1:7" x14ac:dyDescent="0.25">
      <c r="A328" s="2" t="str">
        <f>HYPERLINK("./new_k5/query_cmdrels_weight_analyze/0.4_0.3_0.3/su_441379.xlsx","su_441379")</f>
        <v>su_441379</v>
      </c>
      <c r="B328" s="2">
        <v>0</v>
      </c>
      <c r="C328" s="2">
        <v>0.125</v>
      </c>
      <c r="D328" s="2">
        <v>4.1666666666666602E-2</v>
      </c>
      <c r="E328" s="2">
        <v>0.25</v>
      </c>
      <c r="F328" s="2">
        <v>0.10416666666666601</v>
      </c>
      <c r="G328" s="2">
        <v>0.44374999999999998</v>
      </c>
    </row>
    <row r="329" spans="1:7" x14ac:dyDescent="0.25">
      <c r="A329" s="2" t="str">
        <f>HYPERLINK("./new_k5/query_cmdrels_weight_analyze/0.4_0.3_0.3/su_462788.xlsx","su_462788")</f>
        <v>su_462788</v>
      </c>
      <c r="B329" s="2">
        <v>0.11111111111111099</v>
      </c>
      <c r="C329" s="2">
        <v>0.1111111111111111</v>
      </c>
      <c r="D329" s="2">
        <v>0.18518518518518501</v>
      </c>
      <c r="E329" s="2">
        <v>0.22222222222222221</v>
      </c>
      <c r="F329" s="2">
        <v>0.18518518518518501</v>
      </c>
      <c r="G329" s="2">
        <v>0.39444444444444438</v>
      </c>
    </row>
    <row r="330" spans="1:7" x14ac:dyDescent="0.25">
      <c r="A330" s="2" t="str">
        <f>HYPERLINK("./new_k5/query_cmdrels_weight_analyze/0.4_0.3_0.3/su_626606.xlsx","su_626606")</f>
        <v>su_626606</v>
      </c>
      <c r="B330" s="2">
        <v>0</v>
      </c>
      <c r="C330" s="2">
        <v>0.16666666666666671</v>
      </c>
      <c r="D330" s="2">
        <v>0</v>
      </c>
      <c r="E330" s="2">
        <v>0.5</v>
      </c>
      <c r="F330" s="2">
        <v>3.3333333333333298E-2</v>
      </c>
      <c r="G330" s="2">
        <v>0.83333333333333337</v>
      </c>
    </row>
    <row r="331" spans="1:7" x14ac:dyDescent="0.25">
      <c r="A331" s="2" t="str">
        <f>HYPERLINK("./new_k5/query_cmdrels_weight_analyze/0.4_0.3_0.3/su_634469.xlsx","su_634469")</f>
        <v>su_634469</v>
      </c>
      <c r="B331" s="2">
        <v>0</v>
      </c>
      <c r="C331" s="2">
        <v>0.16666666666666671</v>
      </c>
      <c r="D331" s="2">
        <v>0</v>
      </c>
      <c r="E331" s="2">
        <v>0.27777777777777768</v>
      </c>
      <c r="F331" s="2">
        <v>0</v>
      </c>
      <c r="G331" s="2">
        <v>0.37777777777777782</v>
      </c>
    </row>
    <row r="332" spans="1:7" x14ac:dyDescent="0.25">
      <c r="A332" s="2" t="str">
        <f>HYPERLINK("./new_k5/query_cmdrels_weight_analyze/0.4_0.3_0.3/su_638616.xlsx","su_638616")</f>
        <v>su_638616</v>
      </c>
      <c r="B332" s="2">
        <v>0</v>
      </c>
      <c r="C332" s="2">
        <v>0.25</v>
      </c>
      <c r="D332" s="2">
        <v>0</v>
      </c>
      <c r="E332" s="2">
        <v>0.75</v>
      </c>
      <c r="F332" s="2">
        <v>6.25E-2</v>
      </c>
      <c r="G332" s="2">
        <v>0.75</v>
      </c>
    </row>
    <row r="333" spans="1:7" x14ac:dyDescent="0.25">
      <c r="A333" s="2" t="str">
        <f>HYPERLINK("./new_k5/query_cmdrels_weight_analyze/0.4_0.3_0.3/su_678113.xlsx","su_678113")</f>
        <v>su_678113</v>
      </c>
      <c r="B333" s="2">
        <v>0</v>
      </c>
      <c r="C333" s="2">
        <v>0.5</v>
      </c>
      <c r="D333" s="2">
        <v>0.25</v>
      </c>
      <c r="E333" s="2">
        <v>0.5</v>
      </c>
      <c r="F333" s="2">
        <v>0.25</v>
      </c>
      <c r="G333" s="2">
        <v>0.5</v>
      </c>
    </row>
    <row r="334" spans="1:7" x14ac:dyDescent="0.25">
      <c r="A334" s="2" t="str">
        <f>HYPERLINK("./new_k5/query_cmdrels_weight_analyze/0.4_0.3_0.3/su_686394.xlsx","su_686394")</f>
        <v>su_686394</v>
      </c>
      <c r="B334" s="2">
        <v>0</v>
      </c>
      <c r="C334" s="2">
        <v>1</v>
      </c>
      <c r="D334" s="2">
        <v>0.5</v>
      </c>
      <c r="E334" s="2">
        <v>1</v>
      </c>
      <c r="F334" s="2">
        <v>0.5</v>
      </c>
      <c r="G334" s="2">
        <v>1</v>
      </c>
    </row>
    <row r="335" spans="1:7" x14ac:dyDescent="0.25">
      <c r="A335" s="2" t="str">
        <f>HYPERLINK("./new_k5/query_cmdrels_weight_analyze/0.4_0.3_0.3/su_716795.xlsx","su_716795")</f>
        <v>su_716795</v>
      </c>
      <c r="B335" s="2">
        <v>0</v>
      </c>
      <c r="C335" s="2">
        <v>0</v>
      </c>
      <c r="D335" s="2">
        <v>0</v>
      </c>
      <c r="E335" s="2">
        <v>0</v>
      </c>
      <c r="F335" s="2">
        <v>0</v>
      </c>
      <c r="G335" s="2">
        <v>0.125</v>
      </c>
    </row>
    <row r="336" spans="1:7" x14ac:dyDescent="0.25">
      <c r="A336" s="2" t="str">
        <f>HYPERLINK("./new_k5/query_cmdrels_weight_analyze/0.4_0.3_0.3/su_758463.xlsx","su_758463")</f>
        <v>su_758463</v>
      </c>
      <c r="B336" s="2">
        <v>0</v>
      </c>
      <c r="C336" s="2">
        <v>1</v>
      </c>
      <c r="D336" s="2">
        <v>0</v>
      </c>
      <c r="E336" s="2">
        <v>1</v>
      </c>
      <c r="F336" s="2">
        <v>0</v>
      </c>
      <c r="G336" s="2">
        <v>1</v>
      </c>
    </row>
    <row r="337" spans="1:7" x14ac:dyDescent="0.25">
      <c r="A337" s="2" t="str">
        <f>HYPERLINK("./new_k5/query_cmdrels_weight_analyze/0.4_0.3_0.3/su_766437.xlsx","su_766437")</f>
        <v>su_766437</v>
      </c>
      <c r="B337" s="2">
        <v>0</v>
      </c>
      <c r="C337" s="2">
        <v>0</v>
      </c>
      <c r="D337" s="2">
        <v>0</v>
      </c>
      <c r="E337" s="2">
        <v>6.6666666666666666E-2</v>
      </c>
      <c r="F337" s="2">
        <v>0</v>
      </c>
      <c r="G337" s="2">
        <v>0.28666666666666663</v>
      </c>
    </row>
    <row r="338" spans="1:7" x14ac:dyDescent="0.25">
      <c r="A338" s="2" t="str">
        <f>HYPERLINK("./new_k5/query_cmdrels_weight_analyze/0.4_0.3_0.3/su_904001.xlsx","su_904001")</f>
        <v>su_904001</v>
      </c>
      <c r="B338" s="2">
        <v>0</v>
      </c>
      <c r="C338" s="2">
        <v>0</v>
      </c>
      <c r="D338" s="2">
        <v>0</v>
      </c>
      <c r="E338" s="2">
        <v>0.25</v>
      </c>
      <c r="F338" s="2">
        <v>0</v>
      </c>
      <c r="G338" s="2">
        <v>0.25</v>
      </c>
    </row>
    <row r="339" spans="1:7" x14ac:dyDescent="0.25">
      <c r="A339" s="2" t="str">
        <f>HYPERLINK("./new_k5/query_cmdrels_weight_analyze/0.4_0.3_0.3/ul_100959.xlsx","ul_100959")</f>
        <v>ul_100959</v>
      </c>
      <c r="B339" s="2">
        <v>0</v>
      </c>
      <c r="C339" s="2">
        <v>0</v>
      </c>
      <c r="D339" s="2">
        <v>0.25</v>
      </c>
      <c r="E339" s="2">
        <v>0.58333333333333326</v>
      </c>
      <c r="F339" s="2">
        <v>0.25</v>
      </c>
      <c r="G339" s="2">
        <v>0.58333333333333326</v>
      </c>
    </row>
    <row r="340" spans="1:7" x14ac:dyDescent="0.25">
      <c r="A340" s="2" t="str">
        <f>HYPERLINK("./new_k5/query_cmdrels_weight_analyze/0.4_0.3_0.3/ul_101073.xlsx","ul_101073")</f>
        <v>ul_101073</v>
      </c>
      <c r="B340" s="2">
        <v>0</v>
      </c>
      <c r="C340" s="2">
        <v>0</v>
      </c>
      <c r="D340" s="2">
        <v>0.38888888888888801</v>
      </c>
      <c r="E340" s="2">
        <v>0.1111111111111111</v>
      </c>
      <c r="F340" s="2">
        <v>0.38888888888888801</v>
      </c>
      <c r="G340" s="2">
        <v>0.27777777777777768</v>
      </c>
    </row>
    <row r="341" spans="1:7" x14ac:dyDescent="0.25">
      <c r="A341" s="2" t="str">
        <f>HYPERLINK("./new_k5/query_cmdrels_weight_analyze/0.4_0.3_0.3/ul_101237.xlsx","ul_101237")</f>
        <v>ul_101237</v>
      </c>
      <c r="B341" s="2">
        <v>0</v>
      </c>
      <c r="C341" s="2">
        <v>0.5</v>
      </c>
      <c r="D341" s="2">
        <v>0</v>
      </c>
      <c r="E341" s="2">
        <v>1</v>
      </c>
      <c r="F341" s="2">
        <v>0</v>
      </c>
      <c r="G341" s="2">
        <v>1</v>
      </c>
    </row>
    <row r="342" spans="1:7" x14ac:dyDescent="0.25">
      <c r="A342" s="2" t="str">
        <f>HYPERLINK("./new_k5/query_cmdrels_weight_analyze/0.4_0.3_0.3/ul_102752.xlsx","ul_102752")</f>
        <v>ul_102752</v>
      </c>
      <c r="B342" s="2">
        <v>0.25</v>
      </c>
      <c r="C342" s="2">
        <v>0.25</v>
      </c>
      <c r="D342" s="2">
        <v>0.25</v>
      </c>
      <c r="E342" s="2">
        <v>0.41666666666666657</v>
      </c>
      <c r="F342" s="2">
        <v>0.25</v>
      </c>
      <c r="G342" s="2">
        <v>0.60416666666666663</v>
      </c>
    </row>
    <row r="343" spans="1:7" x14ac:dyDescent="0.25">
      <c r="A343" s="2" t="str">
        <f>HYPERLINK("./new_k5/query_cmdrels_weight_analyze/0.4_0.3_0.3/ul_108174.xlsx","ul_108174")</f>
        <v>ul_108174</v>
      </c>
      <c r="B343" s="2">
        <v>0</v>
      </c>
      <c r="C343" s="2">
        <v>0</v>
      </c>
      <c r="D343" s="2">
        <v>0</v>
      </c>
      <c r="E343" s="2">
        <v>0.1111111111111111</v>
      </c>
      <c r="F343" s="2">
        <v>0</v>
      </c>
      <c r="G343" s="2">
        <v>0.1111111111111111</v>
      </c>
    </row>
    <row r="344" spans="1:7" x14ac:dyDescent="0.25">
      <c r="A344" s="2" t="str">
        <f>HYPERLINK("./new_k5/query_cmdrels_weight_analyze/0.4_0.3_0.3/ul_109536.xlsx","ul_109536")</f>
        <v>ul_109536</v>
      </c>
      <c r="B344" s="2">
        <v>0</v>
      </c>
      <c r="C344" s="2">
        <v>0</v>
      </c>
      <c r="D344" s="2">
        <v>0.5</v>
      </c>
      <c r="E344" s="2">
        <v>0</v>
      </c>
      <c r="F344" s="2">
        <v>0.5</v>
      </c>
      <c r="G344" s="2">
        <v>0</v>
      </c>
    </row>
    <row r="345" spans="1:7" x14ac:dyDescent="0.25">
      <c r="A345" s="2" t="str">
        <f>HYPERLINK("./new_k5/query_cmdrels_weight_analyze/0.4_0.3_0.3/ul_112050.xlsx","ul_112050")</f>
        <v>ul_112050</v>
      </c>
      <c r="B345" s="2">
        <v>0</v>
      </c>
      <c r="C345" s="2">
        <v>0.25</v>
      </c>
      <c r="D345" s="2">
        <v>0</v>
      </c>
      <c r="E345" s="2">
        <v>0.75</v>
      </c>
      <c r="F345" s="2">
        <v>6.25E-2</v>
      </c>
      <c r="G345" s="2">
        <v>0.75</v>
      </c>
    </row>
    <row r="346" spans="1:7" x14ac:dyDescent="0.25">
      <c r="A346" s="2" t="str">
        <f>HYPERLINK("./new_k5/query_cmdrels_weight_analyze/0.4_0.3_0.3/ul_116070.xlsx","ul_116070")</f>
        <v>ul_116070</v>
      </c>
      <c r="B346" s="2">
        <v>0.16666666666666599</v>
      </c>
      <c r="C346" s="2">
        <v>0.16666666666666671</v>
      </c>
      <c r="D346" s="2">
        <v>0.27777777777777701</v>
      </c>
      <c r="E346" s="2">
        <v>0.5</v>
      </c>
      <c r="F346" s="2">
        <v>0.27777777777777701</v>
      </c>
      <c r="G346" s="2">
        <v>0.5</v>
      </c>
    </row>
    <row r="347" spans="1:7" x14ac:dyDescent="0.25">
      <c r="A347" s="2" t="str">
        <f>HYPERLINK("./new_k5/query_cmdrels_weight_analyze/0.4_0.3_0.3/ul_11851.xlsx","ul_11851")</f>
        <v>ul_11851</v>
      </c>
      <c r="B347" s="2">
        <v>0</v>
      </c>
      <c r="C347" s="2">
        <v>0.2</v>
      </c>
      <c r="D347" s="2">
        <v>0</v>
      </c>
      <c r="E347" s="2">
        <v>0.6</v>
      </c>
      <c r="F347" s="2">
        <v>0</v>
      </c>
      <c r="G347" s="2">
        <v>0.8</v>
      </c>
    </row>
    <row r="348" spans="1:7" x14ac:dyDescent="0.25">
      <c r="A348" s="2" t="str">
        <f>HYPERLINK("./new_k5/query_cmdrels_weight_analyze/0.4_0.3_0.3/ul_119126.xlsx","ul_119126")</f>
        <v>ul_119126</v>
      </c>
      <c r="B348" s="2">
        <v>0.2</v>
      </c>
      <c r="C348" s="2">
        <v>0.2</v>
      </c>
      <c r="D348" s="2">
        <v>0.2</v>
      </c>
      <c r="E348" s="2">
        <v>0.33333333333333331</v>
      </c>
      <c r="F348" s="2">
        <v>0.2</v>
      </c>
      <c r="G348" s="2">
        <v>0.48333333333333328</v>
      </c>
    </row>
    <row r="349" spans="1:7" x14ac:dyDescent="0.25">
      <c r="A349" s="2" t="str">
        <f>HYPERLINK("./new_k5/query_cmdrels_weight_analyze/0.4_0.3_0.3/ul_121718.xlsx","ul_121718")</f>
        <v>ul_121718</v>
      </c>
      <c r="B349" s="2">
        <v>0</v>
      </c>
      <c r="C349" s="2">
        <v>0.33333333333333331</v>
      </c>
      <c r="D349" s="2">
        <v>0.16666666666666599</v>
      </c>
      <c r="E349" s="2">
        <v>0.33333333333333331</v>
      </c>
      <c r="F349" s="2">
        <v>0.33333333333333298</v>
      </c>
      <c r="G349" s="2">
        <v>0.33333333333333331</v>
      </c>
    </row>
    <row r="350" spans="1:7" x14ac:dyDescent="0.25">
      <c r="A350" s="2" t="str">
        <f>HYPERLINK("./new_k5/query_cmdrels_weight_analyze/0.4_0.3_0.3/ul_12227.xlsx","ul_12227")</f>
        <v>ul_12227</v>
      </c>
      <c r="B350" s="2">
        <v>0</v>
      </c>
      <c r="C350" s="2">
        <v>0.5</v>
      </c>
      <c r="D350" s="2">
        <v>0.16666666666666599</v>
      </c>
      <c r="E350" s="2">
        <v>0.5</v>
      </c>
      <c r="F350" s="2">
        <v>0.16666666666666599</v>
      </c>
      <c r="G350" s="2">
        <v>0.5</v>
      </c>
    </row>
    <row r="351" spans="1:7" x14ac:dyDescent="0.25">
      <c r="A351" s="2" t="str">
        <f>HYPERLINK("./new_k5/query_cmdrels_weight_analyze/0.4_0.3_0.3/ul_12453.xlsx","ul_12453")</f>
        <v>ul_12453</v>
      </c>
      <c r="B351" s="2">
        <v>0</v>
      </c>
      <c r="C351" s="2">
        <v>0.25</v>
      </c>
      <c r="D351" s="2">
        <v>0</v>
      </c>
      <c r="E351" s="2">
        <v>0.75</v>
      </c>
      <c r="F351" s="2">
        <v>0</v>
      </c>
      <c r="G351" s="2">
        <v>1</v>
      </c>
    </row>
    <row r="352" spans="1:7" x14ac:dyDescent="0.25">
      <c r="A352" s="2" t="str">
        <f>HYPERLINK("./new_k5/query_cmdrels_weight_analyze/0.4_0.3_0.3/ul_12535.xlsx","ul_12535")</f>
        <v>ul_12535</v>
      </c>
      <c r="B352" s="2">
        <v>0</v>
      </c>
      <c r="C352" s="2">
        <v>0</v>
      </c>
      <c r="D352" s="2">
        <v>0</v>
      </c>
      <c r="E352" s="2">
        <v>6.6666666666666666E-2</v>
      </c>
      <c r="F352" s="2">
        <v>0.05</v>
      </c>
      <c r="G352" s="2">
        <v>0.16666666666666671</v>
      </c>
    </row>
    <row r="353" spans="1:7" x14ac:dyDescent="0.25">
      <c r="A353" s="2" t="str">
        <f>HYPERLINK("./new_k5/query_cmdrels_weight_analyze/0.4_0.3_0.3/ul_127066.xlsx","ul_127066")</f>
        <v>ul_127066</v>
      </c>
      <c r="B353" s="2">
        <v>0.25</v>
      </c>
      <c r="C353" s="2">
        <v>0.25</v>
      </c>
      <c r="D353" s="2">
        <v>0.25</v>
      </c>
      <c r="E353" s="2">
        <v>0.41666666666666657</v>
      </c>
      <c r="F353" s="2">
        <v>0.25</v>
      </c>
      <c r="G353" s="2">
        <v>0.60416666666666663</v>
      </c>
    </row>
    <row r="354" spans="1:7" x14ac:dyDescent="0.25">
      <c r="A354" s="2" t="str">
        <f>HYPERLINK("./new_k5/query_cmdrels_weight_analyze/0.4_0.3_0.3/ul_128953.xlsx","ul_128953")</f>
        <v>ul_128953</v>
      </c>
      <c r="B354" s="2">
        <v>0</v>
      </c>
      <c r="C354" s="2">
        <v>0.33333333333333331</v>
      </c>
      <c r="D354" s="2">
        <v>0</v>
      </c>
      <c r="E354" s="2">
        <v>0.33333333333333331</v>
      </c>
      <c r="F354" s="2">
        <v>6.6666666666666596E-2</v>
      </c>
      <c r="G354" s="2">
        <v>0.5</v>
      </c>
    </row>
    <row r="355" spans="1:7" x14ac:dyDescent="0.25">
      <c r="A355" s="2" t="str">
        <f>HYPERLINK("./new_k5/query_cmdrels_weight_analyze/0.4_0.3_0.3/ul_134829.xlsx","ul_134829")</f>
        <v>ul_134829</v>
      </c>
      <c r="B355" s="2">
        <v>0</v>
      </c>
      <c r="C355" s="2">
        <v>0.16666666666666671</v>
      </c>
      <c r="D355" s="2">
        <v>0</v>
      </c>
      <c r="E355" s="2">
        <v>0.5</v>
      </c>
      <c r="F355" s="2">
        <v>3.3333333333333298E-2</v>
      </c>
      <c r="G355" s="2">
        <v>0.66666666666666663</v>
      </c>
    </row>
    <row r="356" spans="1:7" x14ac:dyDescent="0.25">
      <c r="A356" s="2" t="str">
        <f>HYPERLINK("./new_k5/query_cmdrels_weight_analyze/0.4_0.3_0.3/ul_136371.xlsx","ul_136371")</f>
        <v>ul_136371</v>
      </c>
      <c r="B356" s="2">
        <v>0.33333333333333298</v>
      </c>
      <c r="C356" s="2">
        <v>0</v>
      </c>
      <c r="D356" s="2">
        <v>0.33333333333333298</v>
      </c>
      <c r="E356" s="2">
        <v>0.16666666666666671</v>
      </c>
      <c r="F356" s="2">
        <v>0.46666666666666601</v>
      </c>
      <c r="G356" s="2">
        <v>0.3</v>
      </c>
    </row>
    <row r="357" spans="1:7" x14ac:dyDescent="0.25">
      <c r="A357" s="2" t="str">
        <f>HYPERLINK("./new_k5/query_cmdrels_weight_analyze/0.4_0.3_0.3/ul_136884.xlsx","ul_136884")</f>
        <v>ul_136884</v>
      </c>
      <c r="B357" s="2">
        <v>0</v>
      </c>
      <c r="C357" s="2">
        <v>0</v>
      </c>
      <c r="D357" s="2">
        <v>0</v>
      </c>
      <c r="E357" s="2">
        <v>0</v>
      </c>
      <c r="F357" s="2">
        <v>8.3333333333333301E-2</v>
      </c>
      <c r="G357" s="2">
        <v>8.3333333333333329E-2</v>
      </c>
    </row>
    <row r="358" spans="1:7" x14ac:dyDescent="0.25">
      <c r="A358" s="2" t="str">
        <f>HYPERLINK("./new_k5/query_cmdrels_weight_analyze/0.4_0.3_0.3/ul_138398.xlsx","ul_138398")</f>
        <v>ul_138398</v>
      </c>
      <c r="B358" s="2">
        <v>0</v>
      </c>
      <c r="C358" s="2">
        <v>0</v>
      </c>
      <c r="D358" s="2">
        <v>8.3333333333333301E-2</v>
      </c>
      <c r="E358" s="2">
        <v>0</v>
      </c>
      <c r="F358" s="2">
        <v>0.20833333333333301</v>
      </c>
      <c r="G358" s="2">
        <v>0</v>
      </c>
    </row>
    <row r="359" spans="1:7" x14ac:dyDescent="0.25">
      <c r="A359" s="2" t="str">
        <f>HYPERLINK("./new_k5/query_cmdrels_weight_analyze/0.4_0.3_0.3/ul_139271.xlsx","ul_139271")</f>
        <v>ul_139271</v>
      </c>
      <c r="B359" s="2">
        <v>0</v>
      </c>
      <c r="C359" s="2">
        <v>0.16666666666666671</v>
      </c>
      <c r="D359" s="2">
        <v>0</v>
      </c>
      <c r="E359" s="2">
        <v>0.33333333333333331</v>
      </c>
      <c r="F359" s="2">
        <v>0</v>
      </c>
      <c r="G359" s="2">
        <v>0.45833333333333331</v>
      </c>
    </row>
    <row r="360" spans="1:7" x14ac:dyDescent="0.25">
      <c r="A360" s="2" t="str">
        <f>HYPERLINK("./new_k5/query_cmdrels_weight_analyze/0.4_0.3_0.3/ul_140482.xlsx","ul_140482")</f>
        <v>ul_140482</v>
      </c>
      <c r="B360" s="2">
        <v>0</v>
      </c>
      <c r="C360" s="2">
        <v>0.33333333333333331</v>
      </c>
      <c r="D360" s="2">
        <v>0</v>
      </c>
      <c r="E360" s="2">
        <v>0.33333333333333331</v>
      </c>
      <c r="F360" s="2">
        <v>0</v>
      </c>
      <c r="G360" s="2">
        <v>0.33333333333333331</v>
      </c>
    </row>
    <row r="361" spans="1:7" x14ac:dyDescent="0.25">
      <c r="A361" s="2" t="str">
        <f>HYPERLINK("./new_k5/query_cmdrels_weight_analyze/0.4_0.3_0.3/ul_14191.xlsx","ul_14191")</f>
        <v>ul_14191</v>
      </c>
      <c r="B361" s="2">
        <v>0</v>
      </c>
      <c r="C361" s="2">
        <v>0</v>
      </c>
      <c r="D361" s="2">
        <v>0</v>
      </c>
      <c r="E361" s="2">
        <v>0.1111111111111111</v>
      </c>
      <c r="F361" s="2">
        <v>0</v>
      </c>
      <c r="G361" s="2">
        <v>0.1111111111111111</v>
      </c>
    </row>
    <row r="362" spans="1:7" x14ac:dyDescent="0.25">
      <c r="A362" s="2" t="str">
        <f>HYPERLINK("./new_k5/query_cmdrels_weight_analyze/0.4_0.3_0.3/ul_145929.xlsx","ul_145929")</f>
        <v>ul_145929</v>
      </c>
      <c r="B362" s="2">
        <v>0</v>
      </c>
      <c r="C362" s="2">
        <v>0</v>
      </c>
      <c r="D362" s="2">
        <v>0</v>
      </c>
      <c r="E362" s="2">
        <v>0.25</v>
      </c>
      <c r="F362" s="2">
        <v>0</v>
      </c>
      <c r="G362" s="2">
        <v>0.5</v>
      </c>
    </row>
    <row r="363" spans="1:7" x14ac:dyDescent="0.25">
      <c r="A363" s="2" t="str">
        <f>HYPERLINK("./new_k5/query_cmdrels_weight_analyze/0.4_0.3_0.3/ul_148985.xlsx","ul_148985")</f>
        <v>ul_148985</v>
      </c>
      <c r="B363" s="2">
        <v>0</v>
      </c>
      <c r="C363" s="2">
        <v>1</v>
      </c>
      <c r="D363" s="2">
        <v>0.33333333333333298</v>
      </c>
      <c r="E363" s="2">
        <v>1</v>
      </c>
      <c r="F363" s="2">
        <v>0.33333333333333298</v>
      </c>
      <c r="G363" s="2">
        <v>1</v>
      </c>
    </row>
    <row r="364" spans="1:7" x14ac:dyDescent="0.25">
      <c r="A364" s="2" t="str">
        <f>HYPERLINK("./new_k5/query_cmdrels_weight_analyze/0.4_0.3_0.3/ul_15405.xlsx","ul_15405")</f>
        <v>ul_15405</v>
      </c>
      <c r="B364" s="2">
        <v>0</v>
      </c>
      <c r="C364" s="2">
        <v>0.25</v>
      </c>
      <c r="D364" s="2">
        <v>0.125</v>
      </c>
      <c r="E364" s="2">
        <v>0.5</v>
      </c>
      <c r="F364" s="2">
        <v>0.125</v>
      </c>
      <c r="G364" s="2">
        <v>0.5</v>
      </c>
    </row>
    <row r="365" spans="1:7" x14ac:dyDescent="0.25">
      <c r="A365" s="2" t="str">
        <f>HYPERLINK("./new_k5/query_cmdrels_weight_analyze/0.4_0.3_0.3/ul_155551.xlsx","ul_155551")</f>
        <v>ul_155551</v>
      </c>
      <c r="B365" s="2">
        <v>0</v>
      </c>
      <c r="C365" s="2">
        <v>0.5</v>
      </c>
      <c r="D365" s="2">
        <v>0</v>
      </c>
      <c r="E365" s="2">
        <v>1</v>
      </c>
      <c r="F365" s="2">
        <v>0</v>
      </c>
      <c r="G365" s="2">
        <v>1</v>
      </c>
    </row>
    <row r="366" spans="1:7" x14ac:dyDescent="0.25">
      <c r="A366" s="2" t="str">
        <f>HYPERLINK("./new_k5/query_cmdrels_weight_analyze/0.4_0.3_0.3/ul_159672.xlsx","ul_159672")</f>
        <v>ul_159672</v>
      </c>
      <c r="B366" s="2">
        <v>0.33333333333333298</v>
      </c>
      <c r="C366" s="2">
        <v>0.33333333333333331</v>
      </c>
      <c r="D366" s="2">
        <v>0.33333333333333298</v>
      </c>
      <c r="E366" s="2">
        <v>0.66666666666666663</v>
      </c>
      <c r="F366" s="2">
        <v>0.33333333333333298</v>
      </c>
      <c r="G366" s="2">
        <v>0.66666666666666663</v>
      </c>
    </row>
    <row r="367" spans="1:7" x14ac:dyDescent="0.25">
      <c r="A367" s="2" t="str">
        <f>HYPERLINK("./new_k5/query_cmdrels_weight_analyze/0.4_0.3_0.3/ul_163845.xlsx","ul_163845")</f>
        <v>ul_163845</v>
      </c>
      <c r="B367" s="2">
        <v>0.25</v>
      </c>
      <c r="C367" s="2">
        <v>0</v>
      </c>
      <c r="D367" s="2">
        <v>0.75</v>
      </c>
      <c r="E367" s="2">
        <v>0.29166666666666657</v>
      </c>
      <c r="F367" s="2">
        <v>0.95</v>
      </c>
      <c r="G367" s="2">
        <v>0.47916666666666657</v>
      </c>
    </row>
    <row r="368" spans="1:7" x14ac:dyDescent="0.25">
      <c r="A368" s="2" t="str">
        <f>HYPERLINK("./new_k5/query_cmdrels_weight_analyze/0.4_0.3_0.3/ul_16407.xlsx","ul_16407")</f>
        <v>ul_16407</v>
      </c>
      <c r="B368" s="2">
        <v>0</v>
      </c>
      <c r="C368" s="2">
        <v>0.5</v>
      </c>
      <c r="D368" s="2">
        <v>0</v>
      </c>
      <c r="E368" s="2">
        <v>0.5</v>
      </c>
      <c r="F368" s="2">
        <v>0</v>
      </c>
      <c r="G368" s="2">
        <v>0.5</v>
      </c>
    </row>
    <row r="369" spans="1:7" x14ac:dyDescent="0.25">
      <c r="A369" s="2" t="str">
        <f>HYPERLINK("./new_k5/query_cmdrels_weight_analyze/0.4_0.3_0.3/ul_166558.xlsx","ul_166558")</f>
        <v>ul_166558</v>
      </c>
      <c r="B369" s="2">
        <v>0</v>
      </c>
      <c r="C369" s="2">
        <v>0</v>
      </c>
      <c r="D369" s="2">
        <v>0.125</v>
      </c>
      <c r="E369" s="2">
        <v>0.29166666666666657</v>
      </c>
      <c r="F369" s="2">
        <v>0.125</v>
      </c>
      <c r="G369" s="2">
        <v>0.29166666666666657</v>
      </c>
    </row>
    <row r="370" spans="1:7" x14ac:dyDescent="0.25">
      <c r="A370" s="2" t="str">
        <f>HYPERLINK("./new_k5/query_cmdrels_weight_analyze/0.4_0.3_0.3/ul_171314.xlsx","ul_171314")</f>
        <v>ul_171314</v>
      </c>
      <c r="B370" s="2">
        <v>0.16666666666666599</v>
      </c>
      <c r="C370" s="2">
        <v>0.16666666666666671</v>
      </c>
      <c r="D370" s="2">
        <v>0.16666666666666599</v>
      </c>
      <c r="E370" s="2">
        <v>0.16666666666666671</v>
      </c>
      <c r="F370" s="2">
        <v>0.233333333333333</v>
      </c>
      <c r="G370" s="2">
        <v>0.35</v>
      </c>
    </row>
    <row r="371" spans="1:7" x14ac:dyDescent="0.25">
      <c r="A371" s="2" t="str">
        <f>HYPERLINK("./new_k5/query_cmdrels_weight_analyze/0.4_0.3_0.3/ul_182032.xlsx","ul_182032")</f>
        <v>ul_182032</v>
      </c>
      <c r="B371" s="2">
        <v>1</v>
      </c>
      <c r="C371" s="2">
        <v>0</v>
      </c>
      <c r="D371" s="2">
        <v>1</v>
      </c>
      <c r="E371" s="2">
        <v>0.33333333333333331</v>
      </c>
      <c r="F371" s="2">
        <v>1</v>
      </c>
      <c r="G371" s="2">
        <v>0.33333333333333331</v>
      </c>
    </row>
    <row r="372" spans="1:7" x14ac:dyDescent="0.25">
      <c r="A372" s="2" t="str">
        <f>HYPERLINK("./new_k5/query_cmdrels_weight_analyze/0.4_0.3_0.3/ul_19344.xlsx","ul_19344")</f>
        <v>ul_19344</v>
      </c>
      <c r="B372" s="2">
        <v>0.33333333333333298</v>
      </c>
      <c r="C372" s="2">
        <v>0.33333333333333331</v>
      </c>
      <c r="D372" s="2">
        <v>0.33333333333333298</v>
      </c>
      <c r="E372" s="2">
        <v>0.55555555555555547</v>
      </c>
      <c r="F372" s="2">
        <v>0.33333333333333298</v>
      </c>
      <c r="G372" s="2">
        <v>0.55555555555555547</v>
      </c>
    </row>
    <row r="373" spans="1:7" x14ac:dyDescent="0.25">
      <c r="A373" s="2" t="str">
        <f>HYPERLINK("./new_k5/query_cmdrels_weight_analyze/0.4_0.3_0.3/ul_19369.xlsx","ul_19369")</f>
        <v>ul_19369</v>
      </c>
      <c r="B373" s="2">
        <v>0</v>
      </c>
      <c r="C373" s="2">
        <v>0</v>
      </c>
      <c r="D373" s="2">
        <v>0.1</v>
      </c>
      <c r="E373" s="2">
        <v>6.6666666666666666E-2</v>
      </c>
      <c r="F373" s="2">
        <v>0.1</v>
      </c>
      <c r="G373" s="2">
        <v>0.16666666666666671</v>
      </c>
    </row>
    <row r="374" spans="1:7" x14ac:dyDescent="0.25">
      <c r="A374" s="2" t="str">
        <f>HYPERLINK("./new_k5/query_cmdrels_weight_analyze/0.4_0.3_0.3/ul_19485.xlsx","ul_19485")</f>
        <v>ul_19485</v>
      </c>
      <c r="B374" s="2">
        <v>0</v>
      </c>
      <c r="C374" s="2">
        <v>0</v>
      </c>
      <c r="D374" s="2">
        <v>0</v>
      </c>
      <c r="E374" s="2">
        <v>0</v>
      </c>
      <c r="F374" s="2">
        <v>0</v>
      </c>
      <c r="G374" s="2">
        <v>0.25</v>
      </c>
    </row>
    <row r="375" spans="1:7" x14ac:dyDescent="0.25">
      <c r="A375" s="2" t="str">
        <f>HYPERLINK("./new_k5/query_cmdrels_weight_analyze/0.4_0.3_0.3/ul_20370.xlsx","ul_20370")</f>
        <v>ul_20370</v>
      </c>
      <c r="B375" s="2">
        <v>0</v>
      </c>
      <c r="C375" s="2">
        <v>0</v>
      </c>
      <c r="D375" s="2">
        <v>0</v>
      </c>
      <c r="E375" s="2">
        <v>0.16666666666666671</v>
      </c>
      <c r="F375" s="2">
        <v>0</v>
      </c>
      <c r="G375" s="2">
        <v>0.16666666666666671</v>
      </c>
    </row>
    <row r="376" spans="1:7" x14ac:dyDescent="0.25">
      <c r="A376" s="2" t="str">
        <f>HYPERLINK("./new_k5/query_cmdrels_weight_analyze/0.4_0.3_0.3/ul_211817.xlsx","ul_211817")</f>
        <v>ul_211817</v>
      </c>
      <c r="B376" s="2">
        <v>0</v>
      </c>
      <c r="C376" s="2">
        <v>0</v>
      </c>
      <c r="D376" s="2">
        <v>0</v>
      </c>
      <c r="E376" s="2">
        <v>0</v>
      </c>
      <c r="F376" s="2">
        <v>0</v>
      </c>
      <c r="G376" s="2">
        <v>0</v>
      </c>
    </row>
    <row r="377" spans="1:7" x14ac:dyDescent="0.25">
      <c r="A377" s="2" t="str">
        <f>HYPERLINK("./new_k5/query_cmdrels_weight_analyze/0.4_0.3_0.3/ul_212925.xlsx","ul_212925")</f>
        <v>ul_212925</v>
      </c>
      <c r="B377" s="2">
        <v>1</v>
      </c>
      <c r="C377" s="2">
        <v>0</v>
      </c>
      <c r="D377" s="2">
        <v>1</v>
      </c>
      <c r="E377" s="2">
        <v>0.33333333333333331</v>
      </c>
      <c r="F377" s="2">
        <v>1</v>
      </c>
      <c r="G377" s="2">
        <v>0.33333333333333331</v>
      </c>
    </row>
    <row r="378" spans="1:7" x14ac:dyDescent="0.25">
      <c r="A378" s="2" t="str">
        <f>HYPERLINK("./new_k5/query_cmdrels_weight_analyze/0.4_0.3_0.3/ul_21471.xlsx","ul_21471")</f>
        <v>ul_21471</v>
      </c>
      <c r="B378" s="2">
        <v>0</v>
      </c>
      <c r="C378" s="2">
        <v>0.33333333333333331</v>
      </c>
      <c r="D378" s="2">
        <v>0</v>
      </c>
      <c r="E378" s="2">
        <v>0.33333333333333331</v>
      </c>
      <c r="F378" s="2">
        <v>0</v>
      </c>
      <c r="G378" s="2">
        <v>0.33333333333333331</v>
      </c>
    </row>
    <row r="379" spans="1:7" x14ac:dyDescent="0.25">
      <c r="A379" s="2" t="str">
        <f>HYPERLINK("./new_k5/query_cmdrels_weight_analyze/0.4_0.3_0.3/ul_22545.xlsx","ul_22545")</f>
        <v>ul_22545</v>
      </c>
      <c r="B379" s="2">
        <v>0</v>
      </c>
      <c r="C379" s="2">
        <v>1</v>
      </c>
      <c r="D379" s="2">
        <v>0</v>
      </c>
      <c r="E379" s="2">
        <v>1</v>
      </c>
      <c r="F379" s="2">
        <v>0</v>
      </c>
      <c r="G379" s="2">
        <v>1</v>
      </c>
    </row>
    <row r="380" spans="1:7" x14ac:dyDescent="0.25">
      <c r="A380" s="2" t="str">
        <f>HYPERLINK("./new_k5/query_cmdrels_weight_analyze/0.4_0.3_0.3/ul_230481.xlsx","ul_230481")</f>
        <v>ul_230481</v>
      </c>
      <c r="B380" s="2">
        <v>0.33333333333333298</v>
      </c>
      <c r="C380" s="2">
        <v>0.33333333333333331</v>
      </c>
      <c r="D380" s="2">
        <v>0.33333333333333298</v>
      </c>
      <c r="E380" s="2">
        <v>0.55555555555555547</v>
      </c>
      <c r="F380" s="2">
        <v>0.33333333333333298</v>
      </c>
      <c r="G380" s="2">
        <v>0.80555555555555547</v>
      </c>
    </row>
    <row r="381" spans="1:7" x14ac:dyDescent="0.25">
      <c r="A381" s="2" t="str">
        <f>HYPERLINK("./new_k5/query_cmdrels_weight_analyze/0.4_0.3_0.3/ul_230673.xlsx","ul_230673")</f>
        <v>ul_230673</v>
      </c>
      <c r="B381" s="2">
        <v>0</v>
      </c>
      <c r="C381" s="2">
        <v>0</v>
      </c>
      <c r="D381" s="2">
        <v>0</v>
      </c>
      <c r="E381" s="2">
        <v>0.25</v>
      </c>
      <c r="F381" s="2">
        <v>0</v>
      </c>
      <c r="G381" s="2">
        <v>0.5</v>
      </c>
    </row>
    <row r="382" spans="1:7" x14ac:dyDescent="0.25">
      <c r="A382" s="2" t="str">
        <f>HYPERLINK("./new_k5/query_cmdrels_weight_analyze/0.4_0.3_0.3/ul_230800.xlsx","ul_230800")</f>
        <v>ul_230800</v>
      </c>
      <c r="B382" s="2">
        <v>1</v>
      </c>
      <c r="C382" s="2">
        <v>1</v>
      </c>
      <c r="D382" s="2">
        <v>1</v>
      </c>
      <c r="E382" s="2">
        <v>1</v>
      </c>
      <c r="F382" s="2">
        <v>1</v>
      </c>
      <c r="G382" s="2">
        <v>1</v>
      </c>
    </row>
    <row r="383" spans="1:7" x14ac:dyDescent="0.25">
      <c r="A383" s="2" t="str">
        <f>HYPERLINK("./new_k5/query_cmdrels_weight_analyze/0.4_0.3_0.3/ul_232384.xlsx","ul_232384")</f>
        <v>ul_232384</v>
      </c>
      <c r="B383" s="2">
        <v>0.5</v>
      </c>
      <c r="C383" s="2">
        <v>0.5</v>
      </c>
      <c r="D383" s="2">
        <v>0.5</v>
      </c>
      <c r="E383" s="2">
        <v>0.83333333333333326</v>
      </c>
      <c r="F383" s="2">
        <v>0.5</v>
      </c>
      <c r="G383" s="2">
        <v>0.83333333333333326</v>
      </c>
    </row>
    <row r="384" spans="1:7" x14ac:dyDescent="0.25">
      <c r="A384" s="2" t="str">
        <f>HYPERLINK("./new_k5/query_cmdrels_weight_analyze/0.4_0.3_0.3/ul_24441.xlsx","ul_24441")</f>
        <v>ul_24441</v>
      </c>
      <c r="B384" s="2">
        <v>0</v>
      </c>
      <c r="C384" s="2">
        <v>0</v>
      </c>
      <c r="D384" s="2">
        <v>0.25</v>
      </c>
      <c r="E384" s="2">
        <v>0.25</v>
      </c>
      <c r="F384" s="2">
        <v>0.25</v>
      </c>
      <c r="G384" s="2">
        <v>0.25</v>
      </c>
    </row>
    <row r="385" spans="1:7" x14ac:dyDescent="0.25">
      <c r="A385" s="2" t="str">
        <f>HYPERLINK("./new_k5/query_cmdrels_weight_analyze/0.4_0.3_0.3/ul_246535.xlsx","ul_246535")</f>
        <v>ul_246535</v>
      </c>
      <c r="B385" s="2">
        <v>0</v>
      </c>
      <c r="C385" s="2">
        <v>0.2</v>
      </c>
      <c r="D385" s="2">
        <v>0</v>
      </c>
      <c r="E385" s="2">
        <v>0.2</v>
      </c>
      <c r="F385" s="2">
        <v>0.04</v>
      </c>
      <c r="G385" s="2">
        <v>0.42</v>
      </c>
    </row>
    <row r="386" spans="1:7" x14ac:dyDescent="0.25">
      <c r="A386" s="2" t="str">
        <f>HYPERLINK("./new_k5/query_cmdrels_weight_analyze/0.4_0.3_0.3/ul_259791.xlsx","ul_259791")</f>
        <v>ul_259791</v>
      </c>
      <c r="B386" s="2">
        <v>0</v>
      </c>
      <c r="C386" s="2">
        <v>0</v>
      </c>
      <c r="D386" s="2">
        <v>0</v>
      </c>
      <c r="E386" s="2">
        <v>0.33333333333333331</v>
      </c>
      <c r="F386" s="2">
        <v>0.2</v>
      </c>
      <c r="G386" s="2">
        <v>0.33333333333333331</v>
      </c>
    </row>
    <row r="387" spans="1:7" x14ac:dyDescent="0.25">
      <c r="A387" s="2" t="str">
        <f>HYPERLINK("./new_k5/query_cmdrels_weight_analyze/0.4_0.3_0.3/ul_273971.xlsx","ul_273971")</f>
        <v>ul_273971</v>
      </c>
      <c r="B387" s="2">
        <v>0</v>
      </c>
      <c r="C387" s="2">
        <v>0.16666666666666671</v>
      </c>
      <c r="D387" s="2">
        <v>0</v>
      </c>
      <c r="E387" s="2">
        <v>0.16666666666666671</v>
      </c>
      <c r="F387" s="2">
        <v>0</v>
      </c>
      <c r="G387" s="2">
        <v>0.25</v>
      </c>
    </row>
    <row r="388" spans="1:7" x14ac:dyDescent="0.25">
      <c r="A388" s="2" t="str">
        <f>HYPERLINK("./new_k5/query_cmdrels_weight_analyze/0.4_0.3_0.3/ul_28553.xlsx","ul_28553")</f>
        <v>ul_28553</v>
      </c>
      <c r="B388" s="2">
        <v>0</v>
      </c>
      <c r="C388" s="2">
        <v>0</v>
      </c>
      <c r="D388" s="2">
        <v>0</v>
      </c>
      <c r="E388" s="2">
        <v>0.125</v>
      </c>
      <c r="F388" s="2">
        <v>0</v>
      </c>
      <c r="G388" s="2">
        <v>0.125</v>
      </c>
    </row>
    <row r="389" spans="1:7" x14ac:dyDescent="0.25">
      <c r="A389" s="2" t="str">
        <f>HYPERLINK("./new_k5/query_cmdrels_weight_analyze/0.4_0.3_0.3/ul_288521.xlsx","ul_288521")</f>
        <v>ul_288521</v>
      </c>
      <c r="B389" s="2">
        <v>0</v>
      </c>
      <c r="C389" s="2">
        <v>0.5</v>
      </c>
      <c r="D389" s="2">
        <v>0</v>
      </c>
      <c r="E389" s="2">
        <v>1</v>
      </c>
      <c r="F389" s="2">
        <v>0.125</v>
      </c>
      <c r="G389" s="2">
        <v>1</v>
      </c>
    </row>
    <row r="390" spans="1:7" x14ac:dyDescent="0.25">
      <c r="A390" s="2" t="str">
        <f>HYPERLINK("./new_k5/query_cmdrels_weight_analyze/0.4_0.3_0.3/ul_32290.xlsx","ul_32290")</f>
        <v>ul_32290</v>
      </c>
      <c r="B390" s="2">
        <v>0.25</v>
      </c>
      <c r="C390" s="2">
        <v>0</v>
      </c>
      <c r="D390" s="2">
        <v>0.25</v>
      </c>
      <c r="E390" s="2">
        <v>0.125</v>
      </c>
      <c r="F390" s="2">
        <v>0.25</v>
      </c>
      <c r="G390" s="2">
        <v>0.125</v>
      </c>
    </row>
    <row r="391" spans="1:7" x14ac:dyDescent="0.25">
      <c r="A391" s="2" t="str">
        <f>HYPERLINK("./new_k5/query_cmdrels_weight_analyze/0.4_0.3_0.3/ul_328882.xlsx","ul_328882")</f>
        <v>ul_328882</v>
      </c>
      <c r="B391" s="2">
        <v>1</v>
      </c>
      <c r="C391" s="2">
        <v>0</v>
      </c>
      <c r="D391" s="2">
        <v>1</v>
      </c>
      <c r="E391" s="2">
        <v>0.33333333333333331</v>
      </c>
      <c r="F391" s="2">
        <v>1</v>
      </c>
      <c r="G391" s="2">
        <v>0.33333333333333331</v>
      </c>
    </row>
    <row r="392" spans="1:7" x14ac:dyDescent="0.25">
      <c r="A392" s="2" t="str">
        <f>HYPERLINK("./new_k5/query_cmdrels_weight_analyze/0.4_0.3_0.3/ul_35131.xlsx","ul_35131")</f>
        <v>ul_35131</v>
      </c>
      <c r="B392" s="2">
        <v>0.33333333333333298</v>
      </c>
      <c r="C392" s="2">
        <v>0.33333333333333331</v>
      </c>
      <c r="D392" s="2">
        <v>0.33333333333333298</v>
      </c>
      <c r="E392" s="2">
        <v>0.66666666666666663</v>
      </c>
      <c r="F392" s="2">
        <v>0.7</v>
      </c>
      <c r="G392" s="2">
        <v>0.91666666666666663</v>
      </c>
    </row>
    <row r="393" spans="1:7" x14ac:dyDescent="0.25">
      <c r="A393" s="2" t="str">
        <f>HYPERLINK("./new_k5/query_cmdrels_weight_analyze/0.4_0.3_0.3/ul_35333.xlsx","ul_35333")</f>
        <v>ul_35333</v>
      </c>
      <c r="B393" s="2">
        <v>0</v>
      </c>
      <c r="C393" s="2">
        <v>0.5</v>
      </c>
      <c r="D393" s="2">
        <v>0</v>
      </c>
      <c r="E393" s="2">
        <v>0.5</v>
      </c>
      <c r="F393" s="2">
        <v>0</v>
      </c>
      <c r="G393" s="2">
        <v>0.5</v>
      </c>
    </row>
    <row r="394" spans="1:7" x14ac:dyDescent="0.25">
      <c r="A394" s="2" t="str">
        <f>HYPERLINK("./new_k5/query_cmdrels_weight_analyze/0.4_0.3_0.3/ul_35711.xlsx","ul_35711")</f>
        <v>ul_35711</v>
      </c>
      <c r="B394" s="2">
        <v>0</v>
      </c>
      <c r="C394" s="2">
        <v>0</v>
      </c>
      <c r="D394" s="2">
        <v>0.16666666666666599</v>
      </c>
      <c r="E394" s="2">
        <v>0.25</v>
      </c>
      <c r="F394" s="2">
        <v>0.16666666666666599</v>
      </c>
      <c r="G394" s="2">
        <v>0.25</v>
      </c>
    </row>
    <row r="395" spans="1:7" x14ac:dyDescent="0.25">
      <c r="A395" s="2" t="str">
        <f>HYPERLINK("./new_k5/query_cmdrels_weight_analyze/0.4_0.3_0.3/ul_3575.xlsx","ul_3575")</f>
        <v>ul_3575</v>
      </c>
      <c r="B395" s="2">
        <v>0</v>
      </c>
      <c r="C395" s="2">
        <v>0</v>
      </c>
      <c r="D395" s="2">
        <v>8.3333333333333301E-2</v>
      </c>
      <c r="E395" s="2">
        <v>8.3333333333333329E-2</v>
      </c>
      <c r="F395" s="2">
        <v>8.3333333333333301E-2</v>
      </c>
      <c r="G395" s="2">
        <v>8.3333333333333329E-2</v>
      </c>
    </row>
    <row r="396" spans="1:7" x14ac:dyDescent="0.25">
      <c r="A396" s="2" t="str">
        <f>HYPERLINK("./new_k5/query_cmdrels_weight_analyze/0.4_0.3_0.3/ul_35832.xlsx","ul_35832")</f>
        <v>ul_35832</v>
      </c>
      <c r="B396" s="2">
        <v>0</v>
      </c>
      <c r="C396" s="2">
        <v>0.5</v>
      </c>
      <c r="D396" s="2">
        <v>0</v>
      </c>
      <c r="E396" s="2">
        <v>0.83333333333333326</v>
      </c>
      <c r="F396" s="2">
        <v>0.125</v>
      </c>
      <c r="G396" s="2">
        <v>0.83333333333333326</v>
      </c>
    </row>
    <row r="397" spans="1:7" x14ac:dyDescent="0.25">
      <c r="A397" s="2" t="str">
        <f>HYPERLINK("./new_k5/query_cmdrels_weight_analyze/0.4_0.3_0.3/ul_370318.xlsx","ul_370318")</f>
        <v>ul_370318</v>
      </c>
      <c r="B397" s="2">
        <v>0</v>
      </c>
      <c r="C397" s="2">
        <v>0.14285714285714279</v>
      </c>
      <c r="D397" s="2">
        <v>0.16666666666666599</v>
      </c>
      <c r="E397" s="2">
        <v>0.23809523809523811</v>
      </c>
      <c r="F397" s="2">
        <v>0.25238095238095198</v>
      </c>
      <c r="G397" s="2">
        <v>0.34523809523809518</v>
      </c>
    </row>
    <row r="398" spans="1:7" x14ac:dyDescent="0.25">
      <c r="A398" s="2" t="str">
        <f>HYPERLINK("./new_k5/query_cmdrels_weight_analyze/0.4_0.3_0.3/ul_37329.xlsx","ul_37329")</f>
        <v>ul_37329</v>
      </c>
      <c r="B398" s="2">
        <v>0.33333333333333298</v>
      </c>
      <c r="C398" s="2">
        <v>0.33333333333333331</v>
      </c>
      <c r="D398" s="2">
        <v>0.33333333333333298</v>
      </c>
      <c r="E398" s="2">
        <v>0.66666666666666663</v>
      </c>
      <c r="F398" s="2">
        <v>0.33333333333333298</v>
      </c>
      <c r="G398" s="2">
        <v>0.66666666666666663</v>
      </c>
    </row>
    <row r="399" spans="1:7" x14ac:dyDescent="0.25">
      <c r="A399" s="2" t="str">
        <f>HYPERLINK("./new_k5/query_cmdrels_weight_analyze/0.4_0.3_0.3/ul_38209.xlsx","ul_38209")</f>
        <v>ul_38209</v>
      </c>
      <c r="B399" s="2">
        <v>0</v>
      </c>
      <c r="C399" s="2">
        <v>0</v>
      </c>
      <c r="D399" s="2">
        <v>0</v>
      </c>
      <c r="E399" s="2">
        <v>0</v>
      </c>
      <c r="F399" s="2">
        <v>0</v>
      </c>
      <c r="G399" s="2">
        <v>0</v>
      </c>
    </row>
    <row r="400" spans="1:7" x14ac:dyDescent="0.25">
      <c r="A400" s="2" t="str">
        <f>HYPERLINK("./new_k5/query_cmdrels_weight_analyze/0.4_0.3_0.3/ul_41246.xlsx","ul_41246")</f>
        <v>ul_41246</v>
      </c>
      <c r="B400" s="2">
        <v>0</v>
      </c>
      <c r="C400" s="2">
        <v>0.5</v>
      </c>
      <c r="D400" s="2">
        <v>0</v>
      </c>
      <c r="E400" s="2">
        <v>0.5</v>
      </c>
      <c r="F400" s="2">
        <v>0</v>
      </c>
      <c r="G400" s="2">
        <v>0.5</v>
      </c>
    </row>
    <row r="401" spans="1:7" x14ac:dyDescent="0.25">
      <c r="A401" s="2" t="str">
        <f>HYPERLINK("./new_k5/query_cmdrels_weight_analyze/0.4_0.3_0.3/ul_41362.xlsx","ul_41362")</f>
        <v>ul_41362</v>
      </c>
      <c r="B401" s="2">
        <v>0</v>
      </c>
      <c r="C401" s="2">
        <v>0</v>
      </c>
      <c r="D401" s="2">
        <v>0</v>
      </c>
      <c r="E401" s="2">
        <v>8.3333333333333329E-2</v>
      </c>
      <c r="F401" s="2">
        <v>0</v>
      </c>
      <c r="G401" s="2">
        <v>8.3333333333333329E-2</v>
      </c>
    </row>
    <row r="402" spans="1:7" x14ac:dyDescent="0.25">
      <c r="A402" s="2" t="str">
        <f>HYPERLINK("./new_k5/query_cmdrels_weight_analyze/0.4_0.3_0.3/ul_48200.xlsx","ul_48200")</f>
        <v>ul_48200</v>
      </c>
      <c r="B402" s="2">
        <v>0</v>
      </c>
      <c r="C402" s="2">
        <v>0.5</v>
      </c>
      <c r="D402" s="2">
        <v>0</v>
      </c>
      <c r="E402" s="2">
        <v>1</v>
      </c>
      <c r="F402" s="2">
        <v>0</v>
      </c>
      <c r="G402" s="2">
        <v>1</v>
      </c>
    </row>
    <row r="403" spans="1:7" x14ac:dyDescent="0.25">
      <c r="A403" s="2" t="str">
        <f>HYPERLINK("./new_k5/query_cmdrels_weight_analyze/0.4_0.3_0.3/ul_50098.xlsx","ul_50098")</f>
        <v>ul_50098</v>
      </c>
      <c r="B403" s="2">
        <v>0</v>
      </c>
      <c r="C403" s="2">
        <v>0.1</v>
      </c>
      <c r="D403" s="2">
        <v>0</v>
      </c>
      <c r="E403" s="2">
        <v>0.16666666666666671</v>
      </c>
      <c r="F403" s="2">
        <v>0</v>
      </c>
      <c r="G403" s="2">
        <v>0.24166666666666661</v>
      </c>
    </row>
    <row r="404" spans="1:7" x14ac:dyDescent="0.25">
      <c r="A404" s="2" t="str">
        <f>HYPERLINK("./new_k5/query_cmdrels_weight_analyze/0.4_0.3_0.3/ul_50785.xlsx","ul_50785")</f>
        <v>ul_50785</v>
      </c>
      <c r="B404" s="2">
        <v>0</v>
      </c>
      <c r="C404" s="2">
        <v>0.25</v>
      </c>
      <c r="D404" s="2">
        <v>0</v>
      </c>
      <c r="E404" s="2">
        <v>0.25</v>
      </c>
      <c r="F404" s="2">
        <v>0</v>
      </c>
      <c r="G404" s="2">
        <v>0.25</v>
      </c>
    </row>
    <row r="405" spans="1:7" x14ac:dyDescent="0.25">
      <c r="A405" s="2" t="str">
        <f>HYPERLINK("./new_k5/query_cmdrels_weight_analyze/0.4_0.3_0.3/ul_5085.xlsx","ul_5085")</f>
        <v>ul_5085</v>
      </c>
      <c r="B405" s="2">
        <v>0</v>
      </c>
      <c r="C405" s="2">
        <v>0.5</v>
      </c>
      <c r="D405" s="2">
        <v>0</v>
      </c>
      <c r="E405" s="2">
        <v>0.5</v>
      </c>
      <c r="F405" s="2">
        <v>0</v>
      </c>
      <c r="G405" s="2">
        <v>0.5</v>
      </c>
    </row>
    <row r="406" spans="1:7" x14ac:dyDescent="0.25">
      <c r="A406" s="2" t="str">
        <f>HYPERLINK("./new_k5/query_cmdrels_weight_analyze/0.4_0.3_0.3/ul_53737.xlsx","ul_53737")</f>
        <v>ul_53737</v>
      </c>
      <c r="B406" s="2">
        <v>0.5</v>
      </c>
      <c r="C406" s="2">
        <v>0.5</v>
      </c>
      <c r="D406" s="2">
        <v>0.5</v>
      </c>
      <c r="E406" s="2">
        <v>0.5</v>
      </c>
      <c r="F406" s="2">
        <v>0.5</v>
      </c>
      <c r="G406" s="2">
        <v>0.5</v>
      </c>
    </row>
    <row r="407" spans="1:7" x14ac:dyDescent="0.25">
      <c r="A407" s="2" t="str">
        <f>HYPERLINK("./new_k5/query_cmdrels_weight_analyze/0.4_0.3_0.3/ul_55125.xlsx","ul_55125")</f>
        <v>ul_55125</v>
      </c>
      <c r="B407" s="2">
        <v>0</v>
      </c>
      <c r="C407" s="2">
        <v>0</v>
      </c>
      <c r="D407" s="2">
        <v>0</v>
      </c>
      <c r="E407" s="2">
        <v>0.25</v>
      </c>
      <c r="F407" s="2">
        <v>0.125</v>
      </c>
      <c r="G407" s="2">
        <v>0.25</v>
      </c>
    </row>
    <row r="408" spans="1:7" x14ac:dyDescent="0.25">
      <c r="A408" s="2" t="str">
        <f>HYPERLINK("./new_k5/query_cmdrels_weight_analyze/0.4_0.3_0.3/ul_56453.xlsx","ul_56453")</f>
        <v>ul_56453</v>
      </c>
      <c r="B408" s="2">
        <v>0</v>
      </c>
      <c r="C408" s="2">
        <v>0.25</v>
      </c>
      <c r="D408" s="2">
        <v>0</v>
      </c>
      <c r="E408" s="2">
        <v>0.41666666666666657</v>
      </c>
      <c r="F408" s="2">
        <v>0</v>
      </c>
      <c r="G408" s="2">
        <v>0.41666666666666657</v>
      </c>
    </row>
    <row r="409" spans="1:7" x14ac:dyDescent="0.25">
      <c r="A409" s="2" t="str">
        <f>HYPERLINK("./new_k5/query_cmdrels_weight_analyze/0.4_0.3_0.3/ul_63648.xlsx","ul_63648")</f>
        <v>ul_63648</v>
      </c>
      <c r="B409" s="2">
        <v>0</v>
      </c>
      <c r="C409" s="2">
        <v>0</v>
      </c>
      <c r="D409" s="2">
        <v>8.3333333333333301E-2</v>
      </c>
      <c r="E409" s="2">
        <v>0.125</v>
      </c>
      <c r="F409" s="2">
        <v>0.18333333333333299</v>
      </c>
      <c r="G409" s="2">
        <v>0.125</v>
      </c>
    </row>
    <row r="410" spans="1:7" x14ac:dyDescent="0.25">
      <c r="A410" s="2" t="str">
        <f>HYPERLINK("./new_k5/query_cmdrels_weight_analyze/0.4_0.3_0.3/ul_6402.xlsx","ul_6402")</f>
        <v>ul_6402</v>
      </c>
      <c r="B410" s="2">
        <v>0</v>
      </c>
      <c r="C410" s="2">
        <v>0.33333333333333331</v>
      </c>
      <c r="D410" s="2">
        <v>0.16666666666666599</v>
      </c>
      <c r="E410" s="2">
        <v>0.33333333333333331</v>
      </c>
      <c r="F410" s="2">
        <v>0.33333333333333298</v>
      </c>
      <c r="G410" s="2">
        <v>0.33333333333333331</v>
      </c>
    </row>
    <row r="411" spans="1:7" x14ac:dyDescent="0.25">
      <c r="A411" s="2" t="str">
        <f>HYPERLINK("./new_k5/query_cmdrels_weight_analyze/0.4_0.3_0.3/ul_65106.xlsx","ul_65106")</f>
        <v>ul_65106</v>
      </c>
      <c r="B411" s="2">
        <v>0</v>
      </c>
      <c r="C411" s="2">
        <v>0.33333333333333331</v>
      </c>
      <c r="D411" s="2">
        <v>0</v>
      </c>
      <c r="E411" s="2">
        <v>0.66666666666666663</v>
      </c>
      <c r="F411" s="2">
        <v>0</v>
      </c>
      <c r="G411" s="2">
        <v>0.66666666666666663</v>
      </c>
    </row>
    <row r="412" spans="1:7" x14ac:dyDescent="0.25">
      <c r="A412" s="2" t="str">
        <f>HYPERLINK("./new_k5/query_cmdrels_weight_analyze/0.4_0.3_0.3/ul_65932.xlsx","ul_65932")</f>
        <v>ul_65932</v>
      </c>
      <c r="B412" s="2">
        <v>0</v>
      </c>
      <c r="C412" s="2">
        <v>0</v>
      </c>
      <c r="D412" s="2">
        <v>0</v>
      </c>
      <c r="E412" s="2">
        <v>0</v>
      </c>
      <c r="F412" s="2">
        <v>0.25</v>
      </c>
      <c r="G412" s="2">
        <v>0</v>
      </c>
    </row>
    <row r="413" spans="1:7" x14ac:dyDescent="0.25">
      <c r="A413" s="2" t="str">
        <f>HYPERLINK("./new_k5/query_cmdrels_weight_analyze/0.4_0.3_0.3/ul_6596.xlsx","ul_6596")</f>
        <v>ul_6596</v>
      </c>
      <c r="B413" s="2">
        <v>0.2</v>
      </c>
      <c r="C413" s="2">
        <v>0.2</v>
      </c>
      <c r="D413" s="2">
        <v>0.2</v>
      </c>
      <c r="E413" s="2">
        <v>0.4</v>
      </c>
      <c r="F413" s="2">
        <v>0.3</v>
      </c>
      <c r="G413" s="2">
        <v>0.71</v>
      </c>
    </row>
    <row r="414" spans="1:7" x14ac:dyDescent="0.25">
      <c r="A414" s="2" t="str">
        <f>HYPERLINK("./new_k5/query_cmdrels_weight_analyze/0.4_0.3_0.3/ul_67503.xlsx","ul_67503")</f>
        <v>ul_67503</v>
      </c>
      <c r="B414" s="2">
        <v>0.5</v>
      </c>
      <c r="C414" s="2">
        <v>0.5</v>
      </c>
      <c r="D414" s="2">
        <v>0.5</v>
      </c>
      <c r="E414" s="2">
        <v>0.83333333333333326</v>
      </c>
      <c r="F414" s="2">
        <v>0.5</v>
      </c>
      <c r="G414" s="2">
        <v>0.83333333333333326</v>
      </c>
    </row>
    <row r="415" spans="1:7" x14ac:dyDescent="0.25">
      <c r="A415" s="2" t="str">
        <f>HYPERLINK("./new_k5/query_cmdrels_weight_analyze/0.4_0.3_0.3/ul_67592.xlsx","ul_67592")</f>
        <v>ul_67592</v>
      </c>
      <c r="B415" s="2">
        <v>0</v>
      </c>
      <c r="C415" s="2">
        <v>0</v>
      </c>
      <c r="D415" s="2">
        <v>0</v>
      </c>
      <c r="E415" s="2">
        <v>0.1111111111111111</v>
      </c>
      <c r="F415" s="2">
        <v>0</v>
      </c>
      <c r="G415" s="2">
        <v>0.1111111111111111</v>
      </c>
    </row>
    <row r="416" spans="1:7" x14ac:dyDescent="0.25">
      <c r="A416" s="2" t="str">
        <f>HYPERLINK("./new_k5/query_cmdrels_weight_analyze/0.4_0.3_0.3/ul_70581.xlsx","ul_70581")</f>
        <v>ul_70581</v>
      </c>
      <c r="B416" s="2">
        <v>0</v>
      </c>
      <c r="C416" s="2">
        <v>0</v>
      </c>
      <c r="D416" s="2">
        <v>0</v>
      </c>
      <c r="E416" s="2">
        <v>0.23333333333333331</v>
      </c>
      <c r="F416" s="2">
        <v>0</v>
      </c>
      <c r="G416" s="2">
        <v>0.3833333333333333</v>
      </c>
    </row>
    <row r="417" spans="1:7" x14ac:dyDescent="0.25">
      <c r="A417" s="2" t="str">
        <f>HYPERLINK("./new_k5/query_cmdrels_weight_analyze/0.4_0.3_0.3/ul_70614.xlsx","ul_70614")</f>
        <v>ul_70614</v>
      </c>
      <c r="B417" s="2">
        <v>1</v>
      </c>
      <c r="C417" s="2">
        <v>0</v>
      </c>
      <c r="D417" s="2">
        <v>1</v>
      </c>
      <c r="E417" s="2">
        <v>0.5</v>
      </c>
      <c r="F417" s="2">
        <v>1</v>
      </c>
      <c r="G417" s="2">
        <v>0.5</v>
      </c>
    </row>
    <row r="418" spans="1:7" x14ac:dyDescent="0.25">
      <c r="A418" s="2" t="str">
        <f>HYPERLINK("./new_k5/query_cmdrels_weight_analyze/0.4_0.3_0.3/ul_71465.xlsx","ul_71465")</f>
        <v>ul_71465</v>
      </c>
      <c r="B418" s="2">
        <v>0</v>
      </c>
      <c r="C418" s="2">
        <v>0</v>
      </c>
      <c r="D418" s="2">
        <v>0</v>
      </c>
      <c r="E418" s="2">
        <v>0</v>
      </c>
      <c r="F418" s="2">
        <v>0</v>
      </c>
      <c r="G418" s="2">
        <v>0</v>
      </c>
    </row>
    <row r="419" spans="1:7" x14ac:dyDescent="0.25">
      <c r="A419" s="2" t="str">
        <f>HYPERLINK("./new_k5/query_cmdrels_weight_analyze/0.4_0.3_0.3/ul_7226.xlsx","ul_7226")</f>
        <v>ul_7226</v>
      </c>
      <c r="B419" s="2">
        <v>0</v>
      </c>
      <c r="C419" s="2">
        <v>0.33333333333333331</v>
      </c>
      <c r="D419" s="2">
        <v>0</v>
      </c>
      <c r="E419" s="2">
        <v>0.33333333333333331</v>
      </c>
      <c r="F419" s="2">
        <v>8.3333333333333301E-2</v>
      </c>
      <c r="G419" s="2">
        <v>0.5</v>
      </c>
    </row>
    <row r="420" spans="1:7" x14ac:dyDescent="0.25">
      <c r="A420" s="2" t="str">
        <f>HYPERLINK("./new_k5/query_cmdrels_weight_analyze/0.4_0.3_0.3/ul_78182.xlsx","ul_78182")</f>
        <v>ul_78182</v>
      </c>
      <c r="B420" s="2">
        <v>0</v>
      </c>
      <c r="C420" s="2">
        <v>0</v>
      </c>
      <c r="D420" s="2">
        <v>0</v>
      </c>
      <c r="E420" s="2">
        <v>0</v>
      </c>
      <c r="F420" s="2">
        <v>0</v>
      </c>
      <c r="G420" s="2">
        <v>0.1</v>
      </c>
    </row>
    <row r="421" spans="1:7" x14ac:dyDescent="0.25">
      <c r="A421" s="2" t="str">
        <f>HYPERLINK("./new_k5/query_cmdrels_weight_analyze/0.4_0.3_0.3/ul_79678.xlsx","ul_79678")</f>
        <v>ul_79678</v>
      </c>
      <c r="B421" s="2">
        <v>0.5</v>
      </c>
      <c r="C421" s="2">
        <v>0</v>
      </c>
      <c r="D421" s="2">
        <v>0.5</v>
      </c>
      <c r="E421" s="2">
        <v>0</v>
      </c>
      <c r="F421" s="2">
        <v>0.5</v>
      </c>
      <c r="G421" s="2">
        <v>0.125</v>
      </c>
    </row>
    <row r="422" spans="1:7" x14ac:dyDescent="0.25">
      <c r="A422" s="2" t="str">
        <f>HYPERLINK("./new_k5/query_cmdrels_weight_analyze/0.4_0.3_0.3/ul_79702.xlsx","ul_79702")</f>
        <v>ul_79702</v>
      </c>
      <c r="B422" s="2">
        <v>0</v>
      </c>
      <c r="C422" s="2">
        <v>0.33333333333333331</v>
      </c>
      <c r="D422" s="2">
        <v>0</v>
      </c>
      <c r="E422" s="2">
        <v>0.66666666666666663</v>
      </c>
      <c r="F422" s="2">
        <v>0</v>
      </c>
      <c r="G422" s="2">
        <v>0.8666666666666667</v>
      </c>
    </row>
    <row r="423" spans="1:7" x14ac:dyDescent="0.25">
      <c r="A423" s="2" t="str">
        <f>HYPERLINK("./new_k5/query_cmdrels_weight_analyze/0.4_0.3_0.3/ul_83593.xlsx","ul_83593")</f>
        <v>ul_83593</v>
      </c>
      <c r="B423" s="2">
        <v>0.33333333333333298</v>
      </c>
      <c r="C423" s="2">
        <v>0.33333333333333331</v>
      </c>
      <c r="D423" s="2">
        <v>0.66666666666666596</v>
      </c>
      <c r="E423" s="2">
        <v>0.66666666666666663</v>
      </c>
      <c r="F423" s="2">
        <v>0.66666666666666596</v>
      </c>
      <c r="G423" s="2">
        <v>0.91666666666666663</v>
      </c>
    </row>
    <row r="424" spans="1:7" x14ac:dyDescent="0.25">
      <c r="A424" s="2" t="str">
        <f>HYPERLINK("./new_k5/query_cmdrels_weight_analyze/0.4_0.3_0.3/ul_84381.xlsx","ul_84381")</f>
        <v>ul_84381</v>
      </c>
      <c r="B424" s="2">
        <v>0</v>
      </c>
      <c r="C424" s="2">
        <v>0.33333333333333331</v>
      </c>
      <c r="D424" s="2">
        <v>0.11111111111111099</v>
      </c>
      <c r="E424" s="2">
        <v>0.66666666666666663</v>
      </c>
      <c r="F424" s="2">
        <v>0.27777777777777701</v>
      </c>
      <c r="G424" s="2">
        <v>0.66666666666666663</v>
      </c>
    </row>
    <row r="425" spans="1:7" x14ac:dyDescent="0.25">
      <c r="A425" s="2" t="str">
        <f>HYPERLINK("./new_k5/query_cmdrels_weight_analyze/0.4_0.3_0.3/ul_85180.xlsx","ul_85180")</f>
        <v>ul_85180</v>
      </c>
      <c r="B425" s="2">
        <v>0</v>
      </c>
      <c r="C425" s="2">
        <v>0</v>
      </c>
      <c r="D425" s="2">
        <v>0</v>
      </c>
      <c r="E425" s="2">
        <v>0.1111111111111111</v>
      </c>
      <c r="F425" s="2">
        <v>0</v>
      </c>
      <c r="G425" s="2">
        <v>0.27777777777777768</v>
      </c>
    </row>
    <row r="426" spans="1:7" x14ac:dyDescent="0.25">
      <c r="A426" s="2" t="str">
        <f>HYPERLINK("./new_k5/query_cmdrels_weight_analyze/0.4_0.3_0.3/ul_86071.xlsx","ul_86071")</f>
        <v>ul_86071</v>
      </c>
      <c r="B426" s="2">
        <v>0</v>
      </c>
      <c r="C426" s="2">
        <v>0.5</v>
      </c>
      <c r="D426" s="2">
        <v>0</v>
      </c>
      <c r="E426" s="2">
        <v>0.5</v>
      </c>
      <c r="F426" s="2">
        <v>0</v>
      </c>
      <c r="G426" s="2">
        <v>0.5</v>
      </c>
    </row>
    <row r="427" spans="1:7" x14ac:dyDescent="0.25">
      <c r="A427" s="2" t="str">
        <f>HYPERLINK("./new_k5/query_cmdrels_weight_analyze/0.4_0.3_0.3/ul_86729.xlsx","ul_86729")</f>
        <v>ul_86729</v>
      </c>
      <c r="B427" s="2">
        <v>0</v>
      </c>
      <c r="C427" s="2">
        <v>0</v>
      </c>
      <c r="D427" s="2">
        <v>0.16666666666666599</v>
      </c>
      <c r="E427" s="2">
        <v>0</v>
      </c>
      <c r="F427" s="2">
        <v>0.16666666666666599</v>
      </c>
      <c r="G427" s="2">
        <v>0</v>
      </c>
    </row>
    <row r="428" spans="1:7" x14ac:dyDescent="0.25">
      <c r="A428" s="2" t="str">
        <f>HYPERLINK("./new_k5/query_cmdrels_weight_analyze/0.4_0.3_0.3/ul_88824.xlsx","ul_88824")</f>
        <v>ul_88824</v>
      </c>
      <c r="B428" s="2">
        <v>0</v>
      </c>
      <c r="C428" s="2">
        <v>0.33333333333333331</v>
      </c>
      <c r="D428" s="2">
        <v>0</v>
      </c>
      <c r="E428" s="2">
        <v>0.55555555555555547</v>
      </c>
      <c r="F428" s="2">
        <v>0</v>
      </c>
      <c r="G428" s="2">
        <v>0.55555555555555547</v>
      </c>
    </row>
    <row r="429" spans="1:7" x14ac:dyDescent="0.25">
      <c r="A429" s="2" t="str">
        <f>HYPERLINK("./new_k5/query_cmdrels_weight_analyze/0.4_0.3_0.3/ul_8945.xlsx","ul_8945")</f>
        <v>ul_8945</v>
      </c>
      <c r="B429" s="2">
        <v>0.5</v>
      </c>
      <c r="C429" s="2">
        <v>0.5</v>
      </c>
      <c r="D429" s="2">
        <v>0.5</v>
      </c>
      <c r="E429" s="2">
        <v>0.5</v>
      </c>
      <c r="F429" s="2">
        <v>0.5</v>
      </c>
      <c r="G429" s="2">
        <v>0.5</v>
      </c>
    </row>
    <row r="430" spans="1:7" x14ac:dyDescent="0.25">
      <c r="A430" s="2" t="str">
        <f>HYPERLINK("./new_k5/query_cmdrels_weight_analyze/0.4_0.3_0.3/ul_89933.xlsx","ul_89933")</f>
        <v>ul_89933</v>
      </c>
      <c r="B430" s="2">
        <v>0</v>
      </c>
      <c r="C430" s="2">
        <v>0.5</v>
      </c>
      <c r="D430" s="2">
        <v>0</v>
      </c>
      <c r="E430" s="2">
        <v>0.5</v>
      </c>
      <c r="F430" s="2">
        <v>0</v>
      </c>
      <c r="G430" s="2">
        <v>0.5</v>
      </c>
    </row>
    <row r="431" spans="1:7" x14ac:dyDescent="0.25">
      <c r="A431" s="2" t="str">
        <f>HYPERLINK("./new_k5/query_cmdrels_weight_analyze/0.4_0.3_0.3/ul_91297.xlsx","ul_91297")</f>
        <v>ul_91297</v>
      </c>
      <c r="B431" s="2">
        <v>0</v>
      </c>
      <c r="C431" s="2">
        <v>0</v>
      </c>
      <c r="D431" s="2">
        <v>0</v>
      </c>
      <c r="E431" s="2">
        <v>0</v>
      </c>
      <c r="F431" s="2">
        <v>0</v>
      </c>
      <c r="G431" s="2">
        <v>0</v>
      </c>
    </row>
    <row r="432" spans="1:7" x14ac:dyDescent="0.25">
      <c r="A432" s="2" t="str">
        <f>HYPERLINK("./new_k5/query_cmdrels_weight_analyze/0.4_0.3_0.3/ul_9252.xlsx","ul_9252")</f>
        <v>ul_9252</v>
      </c>
      <c r="B432" s="2">
        <v>0</v>
      </c>
      <c r="C432" s="2">
        <v>0</v>
      </c>
      <c r="D432" s="2">
        <v>6.6666666666666596E-2</v>
      </c>
      <c r="E432" s="2">
        <v>6.6666666666666666E-2</v>
      </c>
      <c r="F432" s="2">
        <v>6.6666666666666596E-2</v>
      </c>
      <c r="G432" s="2">
        <v>0.1466666666666667</v>
      </c>
    </row>
    <row r="433" spans="1:30" x14ac:dyDescent="0.25">
      <c r="A433" s="2" t="str">
        <f>HYPERLINK("./new_k5/query_cmdrels_weight_analyze/0.4_0.3_0.3/ul_92560.xlsx","ul_92560")</f>
        <v>ul_92560</v>
      </c>
      <c r="B433" s="2">
        <v>0</v>
      </c>
      <c r="C433" s="2">
        <v>0.5</v>
      </c>
      <c r="D433" s="2">
        <v>0</v>
      </c>
      <c r="E433" s="2">
        <v>0.5</v>
      </c>
      <c r="F433" s="2">
        <v>0</v>
      </c>
      <c r="G433" s="2">
        <v>0.7</v>
      </c>
    </row>
    <row r="434" spans="1:30" x14ac:dyDescent="0.25">
      <c r="A434" s="2" t="str">
        <f>HYPERLINK("./new_k5/query_cmdrels_weight_analyze/0.4_0.3_0.3/ul_92799.xlsx","ul_92799")</f>
        <v>ul_92799</v>
      </c>
      <c r="B434" s="2">
        <v>0</v>
      </c>
      <c r="C434" s="2">
        <v>0.16666666666666671</v>
      </c>
      <c r="D434" s="2">
        <v>0</v>
      </c>
      <c r="E434" s="2">
        <v>0.27777777777777768</v>
      </c>
      <c r="F434" s="2">
        <v>3.3333333333333298E-2</v>
      </c>
      <c r="G434" s="2">
        <v>0.53611111111111109</v>
      </c>
    </row>
    <row r="435" spans="1:30" x14ac:dyDescent="0.25">
      <c r="A435" s="2" t="str">
        <f>HYPERLINK("./new_k5/query_cmdrels_weight_analyze/0.4_0.3_0.3/ul_93139.xlsx","ul_93139")</f>
        <v>ul_93139</v>
      </c>
      <c r="B435" s="2">
        <v>0.5</v>
      </c>
      <c r="C435" s="2">
        <v>0.5</v>
      </c>
      <c r="D435" s="2">
        <v>0.5</v>
      </c>
      <c r="E435" s="2">
        <v>0.5</v>
      </c>
      <c r="F435" s="2">
        <v>0.5</v>
      </c>
      <c r="G435" s="2">
        <v>0.5</v>
      </c>
    </row>
    <row r="436" spans="1:30" x14ac:dyDescent="0.25">
      <c r="A436" s="2" t="str">
        <f>HYPERLINK("./new_k5/query_cmdrels_weight_analyze/0.4_0.3_0.3/ul_98461.xlsx","ul_98461")</f>
        <v>ul_98461</v>
      </c>
      <c r="B436" s="2">
        <v>0</v>
      </c>
      <c r="C436" s="2">
        <v>0</v>
      </c>
      <c r="D436" s="2">
        <v>0</v>
      </c>
      <c r="E436" s="2">
        <v>0</v>
      </c>
      <c r="F436" s="2">
        <v>0</v>
      </c>
      <c r="G436" s="2">
        <v>0</v>
      </c>
    </row>
    <row r="437" spans="1:30" x14ac:dyDescent="0.25">
      <c r="A437" s="2"/>
      <c r="C437" s="1"/>
      <c r="D437" s="2"/>
      <c r="E437" s="3"/>
      <c r="F437" s="2"/>
      <c r="G437" s="3"/>
    </row>
    <row r="440" spans="1:30" ht="14.5" thickBot="1" x14ac:dyDescent="0.3">
      <c r="H440" s="4"/>
      <c r="I440" s="4"/>
      <c r="J440" s="4"/>
      <c r="K440" s="4"/>
      <c r="L440" s="4"/>
      <c r="P440" s="4"/>
      <c r="Q440" s="4"/>
      <c r="R440" s="4"/>
      <c r="S440" s="4"/>
      <c r="T440" s="4"/>
      <c r="X440" s="4"/>
      <c r="Y440" s="4"/>
      <c r="Z440" s="4"/>
      <c r="AA440" s="4"/>
      <c r="AB440" s="4"/>
    </row>
    <row r="443" spans="1:30" ht="14.5" thickBot="1" x14ac:dyDescent="0.3"/>
    <row r="444" spans="1:30" x14ac:dyDescent="0.25">
      <c r="H444" s="5"/>
      <c r="I444" s="5"/>
      <c r="J444" s="5"/>
      <c r="K444" s="5"/>
      <c r="L444" s="5"/>
      <c r="M444" s="6"/>
      <c r="N444" s="5"/>
      <c r="P444" s="5"/>
      <c r="Q444" s="5"/>
      <c r="R444" s="5"/>
      <c r="S444" s="5"/>
      <c r="T444" s="5"/>
      <c r="U444" s="6"/>
      <c r="V444" s="5"/>
      <c r="X444" s="5"/>
      <c r="Y444" s="5"/>
      <c r="Z444" s="5"/>
      <c r="AA444" s="5"/>
      <c r="AB444" s="5"/>
      <c r="AC444" s="6" t="s">
        <v>18</v>
      </c>
      <c r="AD444" s="5" t="s">
        <v>19</v>
      </c>
    </row>
    <row r="445" spans="1:30" x14ac:dyDescent="0.25">
      <c r="AC445">
        <v>2.8377799578845072E-17</v>
      </c>
      <c r="AD445">
        <v>1.1714789053088337</v>
      </c>
    </row>
    <row r="446" spans="1:30" x14ac:dyDescent="0.25">
      <c r="AC446">
        <v>1.5932563026482947E-7</v>
      </c>
      <c r="AD446">
        <v>3.8630241934556766</v>
      </c>
    </row>
    <row r="449" spans="8:30" ht="14.5" thickBot="1" x14ac:dyDescent="0.3">
      <c r="H449" s="4"/>
      <c r="I449" s="4"/>
      <c r="J449" s="4"/>
      <c r="K449" s="4"/>
      <c r="L449" s="4"/>
      <c r="M449" s="4"/>
      <c r="N449" s="4"/>
      <c r="P449" s="4"/>
      <c r="Q449" s="4"/>
      <c r="R449" s="4"/>
      <c r="S449" s="4"/>
      <c r="T449" s="4"/>
      <c r="U449" s="4"/>
      <c r="V449" s="4"/>
      <c r="X449" s="4"/>
      <c r="Y449" s="4"/>
      <c r="Z449" s="4"/>
      <c r="AA449" s="4"/>
      <c r="AB449" s="4"/>
      <c r="AC449" s="4"/>
      <c r="AD449" s="4"/>
    </row>
    <row r="450" spans="8:30" ht="14.5" thickBot="1" x14ac:dyDescent="0.3">
      <c r="H450" s="4"/>
      <c r="I450" s="4"/>
      <c r="J450" s="4"/>
      <c r="K450" s="4"/>
      <c r="L450" s="4"/>
      <c r="M450" s="4"/>
      <c r="N450" s="4"/>
    </row>
  </sheetData>
  <phoneticPr fontId="1" type="noConversion"/>
  <conditionalFormatting sqref="A1:A437">
    <cfRule type="expression" dxfId="7" priority="1">
      <formula>OR(OR($B1&lt;$C1,$D1&lt;$E1),$F1&lt;$G1)</formula>
    </cfRule>
    <cfRule type="expression" dxfId="6" priority="2">
      <formula>OR(OR($B1&gt;$C1,$D1&gt;$E1),$F1&gt;$G1)</formula>
    </cfRule>
  </conditionalFormatting>
  <conditionalFormatting sqref="B2:C436">
    <cfRule type="expression" dxfId="5" priority="3">
      <formula>$B2&lt;$C2</formula>
    </cfRule>
    <cfRule type="expression" dxfId="4" priority="8">
      <formula>$B2&gt;$C2</formula>
    </cfRule>
  </conditionalFormatting>
  <conditionalFormatting sqref="D2:E436">
    <cfRule type="expression" dxfId="3" priority="4">
      <formula>$D2&lt;$E2</formula>
    </cfRule>
    <cfRule type="expression" dxfId="2" priority="7">
      <formula>$D2&gt;$E2</formula>
    </cfRule>
  </conditionalFormatting>
  <conditionalFormatting sqref="F2:G436">
    <cfRule type="expression" dxfId="1" priority="5">
      <formula>$F2&lt;$G2</formula>
    </cfRule>
    <cfRule type="expression" dxfId="0" priority="6">
      <formula>$F2&gt;$G2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C4B45-B8F4-49B4-9304-29AB4FC6316F}">
  <dimension ref="A1:AB436"/>
  <sheetViews>
    <sheetView tabSelected="1" topLeftCell="I1" workbookViewId="0">
      <selection activeCell="M11" activeCellId="2" sqref="AA11 T11 M11"/>
    </sheetView>
  </sheetViews>
  <sheetFormatPr defaultRowHeight="14" x14ac:dyDescent="0.25"/>
  <sheetData>
    <row r="1" spans="1:28" x14ac:dyDescent="0.25">
      <c r="A1" t="s">
        <v>0</v>
      </c>
      <c r="B1" t="s">
        <v>31</v>
      </c>
      <c r="C1" t="s">
        <v>28</v>
      </c>
      <c r="D1" t="s">
        <v>32</v>
      </c>
      <c r="E1" t="s">
        <v>29</v>
      </c>
      <c r="F1" t="s">
        <v>33</v>
      </c>
      <c r="G1" t="s">
        <v>30</v>
      </c>
      <c r="H1" t="s">
        <v>21</v>
      </c>
      <c r="O1" t="s">
        <v>21</v>
      </c>
      <c r="V1" t="s">
        <v>21</v>
      </c>
    </row>
    <row r="2" spans="1:28" x14ac:dyDescent="0.25">
      <c r="A2" t="s">
        <v>4</v>
      </c>
      <c r="B2">
        <v>0.28801843317972298</v>
      </c>
      <c r="C2">
        <f t="shared" ref="C2:G2" si="0">SUM(C3:C436)/COUNT(C3:C436)</f>
        <v>0.64055299539170507</v>
      </c>
      <c r="D2">
        <v>0.38517665130568302</v>
      </c>
      <c r="E2">
        <f t="shared" si="0"/>
        <v>0.74654377880184297</v>
      </c>
      <c r="F2">
        <v>0.417780337941628</v>
      </c>
      <c r="G2">
        <f t="shared" si="0"/>
        <v>0.75725806451612843</v>
      </c>
    </row>
    <row r="3" spans="1:28" ht="14.5" thickBot="1" x14ac:dyDescent="0.3">
      <c r="A3" t="str">
        <f>HYPERLINK("./new_k5/query_cmdrels_weight_analyze/0.4_0.3_0.3/au_102733.xlsx","au_102733")</f>
        <v>au_102733</v>
      </c>
      <c r="B3">
        <v>0</v>
      </c>
      <c r="C3">
        <v>1</v>
      </c>
      <c r="D3">
        <v>0</v>
      </c>
      <c r="E3">
        <v>1</v>
      </c>
      <c r="F3">
        <v>0.25</v>
      </c>
      <c r="G3">
        <v>1</v>
      </c>
      <c r="H3" t="s">
        <v>5</v>
      </c>
      <c r="O3" t="s">
        <v>5</v>
      </c>
      <c r="V3" t="s">
        <v>5</v>
      </c>
    </row>
    <row r="4" spans="1:28" x14ac:dyDescent="0.25">
      <c r="A4" t="str">
        <f>HYPERLINK("./new_k5/query_cmdrels_weight_analyze/0.4_0.3_0.3/au_1029436.xlsx","au_1029436")</f>
        <v>au_1029436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 s="5" t="s">
        <v>22</v>
      </c>
      <c r="I4" s="5" t="s">
        <v>6</v>
      </c>
      <c r="J4" s="5" t="s">
        <v>7</v>
      </c>
      <c r="K4" s="5" t="s">
        <v>8</v>
      </c>
      <c r="L4" s="5" t="s">
        <v>9</v>
      </c>
      <c r="O4" s="5" t="s">
        <v>22</v>
      </c>
      <c r="P4" s="5" t="s">
        <v>6</v>
      </c>
      <c r="Q4" s="5" t="s">
        <v>7</v>
      </c>
      <c r="R4" s="5" t="s">
        <v>8</v>
      </c>
      <c r="S4" s="5" t="s">
        <v>9</v>
      </c>
      <c r="V4" s="5" t="s">
        <v>22</v>
      </c>
      <c r="W4" s="5" t="s">
        <v>6</v>
      </c>
      <c r="X4" s="5" t="s">
        <v>7</v>
      </c>
      <c r="Y4" s="5" t="s">
        <v>8</v>
      </c>
      <c r="Z4" s="5" t="s">
        <v>9</v>
      </c>
    </row>
    <row r="5" spans="1:28" x14ac:dyDescent="0.25">
      <c r="A5" t="str">
        <f>HYPERLINK("./new_k5/query_cmdrels_weight_analyze/0.4_0.3_0.3/au_1029502.xlsx","au_1029502")</f>
        <v>au_1029502</v>
      </c>
      <c r="B5">
        <v>0</v>
      </c>
      <c r="C5">
        <v>1</v>
      </c>
      <c r="D5">
        <v>0</v>
      </c>
      <c r="E5">
        <v>1</v>
      </c>
      <c r="F5">
        <v>0</v>
      </c>
      <c r="G5">
        <v>1</v>
      </c>
      <c r="H5" t="s">
        <v>10</v>
      </c>
      <c r="I5">
        <v>435</v>
      </c>
      <c r="J5">
        <v>125.28801843317973</v>
      </c>
      <c r="K5">
        <v>0.28801843317972353</v>
      </c>
      <c r="L5">
        <v>0.20506381532842061</v>
      </c>
      <c r="O5" t="s">
        <v>10</v>
      </c>
      <c r="P5">
        <v>434</v>
      </c>
      <c r="Q5">
        <v>167.16666666666671</v>
      </c>
      <c r="R5">
        <v>0.38517665130568368</v>
      </c>
      <c r="S5">
        <v>0.18302584760343843</v>
      </c>
      <c r="V5" t="s">
        <v>10</v>
      </c>
      <c r="W5">
        <v>434</v>
      </c>
      <c r="X5">
        <v>181.31666666666666</v>
      </c>
      <c r="Y5">
        <v>0.41778033794162828</v>
      </c>
      <c r="Z5">
        <v>0.16433221850909799</v>
      </c>
    </row>
    <row r="6" spans="1:28" ht="14.5" thickBot="1" x14ac:dyDescent="0.3">
      <c r="A6" t="str">
        <f>HYPERLINK("./new_k5/query_cmdrels_weight_analyze/0.4_0.3_0.3/au_1029531.xlsx","au_1029531")</f>
        <v>au_1029531</v>
      </c>
      <c r="B6">
        <v>0</v>
      </c>
      <c r="C6">
        <v>1</v>
      </c>
      <c r="D6">
        <v>0</v>
      </c>
      <c r="E6">
        <v>1</v>
      </c>
      <c r="F6">
        <v>0</v>
      </c>
      <c r="G6">
        <v>1</v>
      </c>
      <c r="H6" s="4" t="s">
        <v>11</v>
      </c>
      <c r="I6" s="4">
        <v>435</v>
      </c>
      <c r="J6" s="4">
        <v>278.64055299539172</v>
      </c>
      <c r="K6" s="4">
        <v>0.64055299539170507</v>
      </c>
      <c r="L6" s="4">
        <v>0.23024485548641926</v>
      </c>
      <c r="O6" s="4" t="s">
        <v>11</v>
      </c>
      <c r="P6" s="4">
        <v>434</v>
      </c>
      <c r="Q6" s="4">
        <v>323.99999999999983</v>
      </c>
      <c r="R6" s="4">
        <v>0.74654377880184297</v>
      </c>
      <c r="S6" s="4">
        <v>0.13153152194350159</v>
      </c>
      <c r="V6" s="4" t="s">
        <v>11</v>
      </c>
      <c r="W6" s="4">
        <v>434</v>
      </c>
      <c r="X6" s="4">
        <v>328.64999999999975</v>
      </c>
      <c r="Y6" s="4">
        <v>0.75725806451612843</v>
      </c>
      <c r="Z6" s="4">
        <v>0.11790524348754673</v>
      </c>
    </row>
    <row r="7" spans="1:28" x14ac:dyDescent="0.25">
      <c r="A7" t="str">
        <f>HYPERLINK("./new_k5/query_cmdrels_weight_analyze/0.4_0.3_0.3/au_104542.xlsx","au_104542")</f>
        <v>au_104542</v>
      </c>
      <c r="B7">
        <v>0</v>
      </c>
      <c r="C7">
        <v>1</v>
      </c>
      <c r="D7">
        <v>0.33333333333333298</v>
      </c>
      <c r="E7">
        <v>1</v>
      </c>
      <c r="F7">
        <v>0.33333333333333298</v>
      </c>
      <c r="G7">
        <v>1</v>
      </c>
    </row>
    <row r="8" spans="1:28" x14ac:dyDescent="0.25">
      <c r="A8" t="str">
        <f>HYPERLINK("./new_k5/query_cmdrels_weight_analyze/0.4_0.3_0.3/au_109070.xlsx","au_109070")</f>
        <v>au_109070</v>
      </c>
      <c r="B8">
        <v>0</v>
      </c>
      <c r="C8">
        <v>0</v>
      </c>
      <c r="D8">
        <v>0</v>
      </c>
      <c r="E8">
        <v>0</v>
      </c>
      <c r="F8">
        <v>0</v>
      </c>
      <c r="G8">
        <v>0.25</v>
      </c>
    </row>
    <row r="9" spans="1:28" ht="14.5" thickBot="1" x14ac:dyDescent="0.3">
      <c r="A9" t="str">
        <f>HYPERLINK("./new_k5/query_cmdrels_weight_analyze/0.4_0.3_0.3/au_109381.xlsx","au_109381")</f>
        <v>au_109381</v>
      </c>
      <c r="B9">
        <v>0</v>
      </c>
      <c r="C9">
        <v>0</v>
      </c>
      <c r="D9">
        <v>0.5</v>
      </c>
      <c r="E9">
        <v>0.5</v>
      </c>
      <c r="F9">
        <v>0.5</v>
      </c>
      <c r="G9">
        <v>0.5</v>
      </c>
      <c r="H9" t="s">
        <v>12</v>
      </c>
      <c r="O9" t="s">
        <v>12</v>
      </c>
      <c r="V9" t="s">
        <v>12</v>
      </c>
    </row>
    <row r="10" spans="1:28" x14ac:dyDescent="0.25">
      <c r="A10" t="str">
        <f>HYPERLINK("./new_k5/query_cmdrels_weight_analyze/0.4_0.3_0.3/au_110477.xlsx","au_110477")</f>
        <v>au_110477</v>
      </c>
      <c r="B10">
        <v>0</v>
      </c>
      <c r="C10">
        <v>1</v>
      </c>
      <c r="D10">
        <v>0.33333333333333298</v>
      </c>
      <c r="E10">
        <v>1</v>
      </c>
      <c r="F10">
        <v>0.33333333333333298</v>
      </c>
      <c r="G10">
        <v>1</v>
      </c>
      <c r="H10" s="5" t="s">
        <v>13</v>
      </c>
      <c r="I10" s="5" t="s">
        <v>14</v>
      </c>
      <c r="J10" s="5" t="s">
        <v>15</v>
      </c>
      <c r="K10" s="5" t="s">
        <v>16</v>
      </c>
      <c r="L10" s="5" t="s">
        <v>17</v>
      </c>
      <c r="M10" s="5" t="s">
        <v>18</v>
      </c>
      <c r="N10" s="5" t="s">
        <v>19</v>
      </c>
      <c r="O10" s="5" t="s">
        <v>13</v>
      </c>
      <c r="P10" s="5" t="s">
        <v>14</v>
      </c>
      <c r="Q10" s="5" t="s">
        <v>15</v>
      </c>
      <c r="R10" s="5" t="s">
        <v>16</v>
      </c>
      <c r="S10" s="5" t="s">
        <v>17</v>
      </c>
      <c r="T10" s="5" t="s">
        <v>18</v>
      </c>
      <c r="U10" s="5" t="s">
        <v>19</v>
      </c>
      <c r="V10" s="5" t="s">
        <v>13</v>
      </c>
      <c r="W10" s="5" t="s">
        <v>14</v>
      </c>
      <c r="X10" s="5" t="s">
        <v>15</v>
      </c>
      <c r="Y10" s="5" t="s">
        <v>16</v>
      </c>
      <c r="Z10" s="5" t="s">
        <v>17</v>
      </c>
      <c r="AA10" s="5" t="s">
        <v>18</v>
      </c>
      <c r="AB10" s="5" t="s">
        <v>19</v>
      </c>
    </row>
    <row r="11" spans="1:28" x14ac:dyDescent="0.25">
      <c r="A11" t="str">
        <f>HYPERLINK("./new_k5/query_cmdrels_weight_analyze/0.4_0.3_0.3/au_111678.xlsx","au_111678")</f>
        <v>au_111678</v>
      </c>
      <c r="B11">
        <v>0</v>
      </c>
      <c r="C11">
        <v>1</v>
      </c>
      <c r="D11">
        <v>0</v>
      </c>
      <c r="E11">
        <v>1</v>
      </c>
      <c r="F11">
        <v>0</v>
      </c>
      <c r="G11">
        <v>1</v>
      </c>
      <c r="H11" t="s">
        <v>23</v>
      </c>
      <c r="I11">
        <v>27.031034317993715</v>
      </c>
      <c r="J11">
        <v>1</v>
      </c>
      <c r="K11">
        <v>27.031034317993715</v>
      </c>
      <c r="L11">
        <v>124.19249204200459</v>
      </c>
      <c r="M11" s="7">
        <v>4.7348705083077427E-27</v>
      </c>
      <c r="N11">
        <v>3.8521942970574097</v>
      </c>
      <c r="O11" t="s">
        <v>23</v>
      </c>
      <c r="P11">
        <v>28.33720558115732</v>
      </c>
      <c r="Q11">
        <v>1</v>
      </c>
      <c r="R11">
        <v>28.33720558115732</v>
      </c>
      <c r="S11">
        <v>180.17193888651596</v>
      </c>
      <c r="T11" s="7">
        <v>1.8610601508692025E-37</v>
      </c>
      <c r="U11">
        <v>3.8522191417547393</v>
      </c>
      <c r="V11" t="s">
        <v>23</v>
      </c>
      <c r="W11">
        <v>25.008192524321302</v>
      </c>
      <c r="X11">
        <v>1</v>
      </c>
      <c r="Y11">
        <v>25.008192524321302</v>
      </c>
      <c r="Z11">
        <v>177.21384218384642</v>
      </c>
      <c r="AA11" s="7">
        <v>6.3851714000897061E-37</v>
      </c>
      <c r="AB11">
        <v>3.8522191417547393</v>
      </c>
    </row>
    <row r="12" spans="1:28" x14ac:dyDescent="0.25">
      <c r="A12" t="str">
        <f>HYPERLINK("./new_k5/query_cmdrels_weight_analyze/0.4_0.3_0.3/au_112512.xlsx","au_112512")</f>
        <v>au_112512</v>
      </c>
      <c r="B12">
        <v>0</v>
      </c>
      <c r="C12">
        <v>1</v>
      </c>
      <c r="D12">
        <v>0</v>
      </c>
      <c r="E12">
        <v>1</v>
      </c>
      <c r="F12">
        <v>0</v>
      </c>
      <c r="G12">
        <v>1</v>
      </c>
      <c r="H12" t="s">
        <v>24</v>
      </c>
      <c r="I12">
        <v>188.92396313363992</v>
      </c>
      <c r="J12">
        <v>868</v>
      </c>
      <c r="K12">
        <v>0.21765433540741927</v>
      </c>
      <c r="O12" t="s">
        <v>24</v>
      </c>
      <c r="P12">
        <v>136.20334101382539</v>
      </c>
      <c r="Q12">
        <v>866</v>
      </c>
      <c r="R12">
        <v>0.15727868477347043</v>
      </c>
      <c r="V12" t="s">
        <v>24</v>
      </c>
      <c r="W12">
        <v>122.20882104454681</v>
      </c>
      <c r="X12">
        <v>866</v>
      </c>
      <c r="Y12">
        <v>0.14111873099832195</v>
      </c>
    </row>
    <row r="13" spans="1:28" x14ac:dyDescent="0.25">
      <c r="A13" t="str">
        <f>HYPERLINK("./new_k5/query_cmdrels_weight_analyze/0.4_0.3_0.3/au_115369.xlsx","au_115369")</f>
        <v>au_115369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28" ht="14.5" thickBot="1" x14ac:dyDescent="0.3">
      <c r="A14" t="str">
        <f>HYPERLINK("./new_k5/query_cmdrels_weight_analyze/0.4_0.3_0.3/au_11789.xlsx","au_11789")</f>
        <v>au_11789</v>
      </c>
      <c r="B14">
        <v>0</v>
      </c>
      <c r="C14">
        <v>1</v>
      </c>
      <c r="D14">
        <v>0.33333333333333298</v>
      </c>
      <c r="E14">
        <v>1</v>
      </c>
      <c r="F14">
        <v>0.33333333333333298</v>
      </c>
      <c r="G14">
        <v>1</v>
      </c>
      <c r="H14" s="4" t="s">
        <v>20</v>
      </c>
      <c r="I14" s="4">
        <v>215.95499745163363</v>
      </c>
      <c r="J14" s="4">
        <v>869</v>
      </c>
      <c r="K14" s="4"/>
      <c r="L14" s="4"/>
      <c r="M14" s="4"/>
      <c r="N14" s="4"/>
      <c r="O14" s="4" t="s">
        <v>20</v>
      </c>
      <c r="P14" s="4">
        <v>164.54054659498271</v>
      </c>
      <c r="Q14" s="4">
        <v>867</v>
      </c>
      <c r="R14" s="4"/>
      <c r="S14" s="4"/>
      <c r="T14" s="4"/>
      <c r="U14" s="4"/>
      <c r="V14" s="4" t="s">
        <v>20</v>
      </c>
      <c r="W14" s="4">
        <v>147.21701356886811</v>
      </c>
      <c r="X14" s="4">
        <v>867</v>
      </c>
      <c r="Y14" s="4"/>
      <c r="Z14" s="4"/>
      <c r="AA14" s="4"/>
      <c r="AB14" s="4"/>
    </row>
    <row r="15" spans="1:28" x14ac:dyDescent="0.25">
      <c r="A15" t="str">
        <f>HYPERLINK("./new_k5/query_cmdrels_weight_analyze/0.4_0.3_0.3/au_117950.xlsx","au_117950")</f>
        <v>au_117950</v>
      </c>
      <c r="B15">
        <v>0</v>
      </c>
      <c r="C15">
        <v>0</v>
      </c>
      <c r="D15">
        <v>0</v>
      </c>
      <c r="E15">
        <v>0</v>
      </c>
      <c r="F15">
        <v>0.2</v>
      </c>
      <c r="G15">
        <v>0.25</v>
      </c>
    </row>
    <row r="16" spans="1:28" x14ac:dyDescent="0.25">
      <c r="A16" t="str">
        <f>HYPERLINK("./new_k5/query_cmdrels_weight_analyze/0.4_0.3_0.3/au_122113.xlsx","au_122113")</f>
        <v>au_122113</v>
      </c>
      <c r="B16">
        <v>0</v>
      </c>
      <c r="C16">
        <v>0</v>
      </c>
      <c r="D16">
        <v>0.33333333333333298</v>
      </c>
      <c r="E16">
        <v>0.5</v>
      </c>
      <c r="F16">
        <v>0.33333333333333298</v>
      </c>
      <c r="G16">
        <v>0.5</v>
      </c>
    </row>
    <row r="17" spans="1:7" x14ac:dyDescent="0.25">
      <c r="A17" t="str">
        <f>HYPERLINK("./new_k5/query_cmdrels_weight_analyze/0.4_0.3_0.3/au_123798.xlsx","au_123798")</f>
        <v>au_123798</v>
      </c>
      <c r="B17">
        <v>0</v>
      </c>
      <c r="C17">
        <v>0</v>
      </c>
      <c r="D17">
        <v>0</v>
      </c>
      <c r="E17">
        <v>0.5</v>
      </c>
      <c r="F17">
        <v>0</v>
      </c>
      <c r="G17">
        <v>0.5</v>
      </c>
    </row>
    <row r="18" spans="1:7" x14ac:dyDescent="0.25">
      <c r="A18" t="str">
        <f>HYPERLINK("./new_k5/query_cmdrels_weight_analyze/0.4_0.3_0.3/au_125257.xlsx","au_125257")</f>
        <v>au_125257</v>
      </c>
      <c r="B18">
        <v>0</v>
      </c>
      <c r="C18">
        <v>1</v>
      </c>
      <c r="D18">
        <v>0</v>
      </c>
      <c r="E18">
        <v>1</v>
      </c>
      <c r="F18">
        <v>0.2</v>
      </c>
      <c r="G18">
        <v>1</v>
      </c>
    </row>
    <row r="19" spans="1:7" x14ac:dyDescent="0.25">
      <c r="A19" t="str">
        <f>HYPERLINK("./new_k5/query_cmdrels_weight_analyze/0.4_0.3_0.3/au_126153.xlsx","au_126153")</f>
        <v>au_126153</v>
      </c>
      <c r="B19">
        <v>0</v>
      </c>
      <c r="C19">
        <v>1</v>
      </c>
      <c r="D19">
        <v>0</v>
      </c>
      <c r="E19">
        <v>1</v>
      </c>
      <c r="F19">
        <v>0.25</v>
      </c>
      <c r="G19">
        <v>1</v>
      </c>
    </row>
    <row r="20" spans="1:7" x14ac:dyDescent="0.25">
      <c r="A20" t="str">
        <f>HYPERLINK("./new_k5/query_cmdrels_weight_analyze/0.4_0.3_0.3/au_127326.xlsx","au_127326")</f>
        <v>au_127326</v>
      </c>
      <c r="B20">
        <v>0</v>
      </c>
      <c r="C20">
        <v>1</v>
      </c>
      <c r="D20">
        <v>0</v>
      </c>
      <c r="E20">
        <v>1</v>
      </c>
      <c r="F20">
        <v>0</v>
      </c>
      <c r="G20">
        <v>1</v>
      </c>
    </row>
    <row r="21" spans="1:7" x14ac:dyDescent="0.25">
      <c r="A21" t="str">
        <f>HYPERLINK("./new_k5/query_cmdrels_weight_analyze/0.4_0.3_0.3/au_128463.xlsx","au_128463")</f>
        <v>au_128463</v>
      </c>
      <c r="B21">
        <v>0</v>
      </c>
      <c r="C21">
        <v>1</v>
      </c>
      <c r="D21">
        <v>0</v>
      </c>
      <c r="E21">
        <v>1</v>
      </c>
      <c r="F21">
        <v>0</v>
      </c>
      <c r="G21">
        <v>1</v>
      </c>
    </row>
    <row r="22" spans="1:7" x14ac:dyDescent="0.25">
      <c r="A22" t="str">
        <f>HYPERLINK("./new_k5/query_cmdrels_weight_analyze/0.4_0.3_0.3/au_130393.xlsx","au_130393")</f>
        <v>au_130393</v>
      </c>
      <c r="B22">
        <v>0</v>
      </c>
      <c r="C22">
        <v>0</v>
      </c>
      <c r="D22">
        <v>0.33333333333333298</v>
      </c>
      <c r="E22">
        <v>0.5</v>
      </c>
      <c r="F22">
        <v>0.33333333333333298</v>
      </c>
      <c r="G22">
        <v>0.5</v>
      </c>
    </row>
    <row r="23" spans="1:7" x14ac:dyDescent="0.25">
      <c r="A23" t="str">
        <f>HYPERLINK("./new_k5/query_cmdrels_weight_analyze/0.4_0.3_0.3/au_131570.xlsx","au_131570")</f>
        <v>au_131570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 x14ac:dyDescent="0.25">
      <c r="A24" t="str">
        <f>HYPERLINK("./new_k5/query_cmdrels_weight_analyze/0.4_0.3_0.3/au_133318.xlsx","au_133318")</f>
        <v>au_133318</v>
      </c>
      <c r="B24">
        <v>0</v>
      </c>
      <c r="C24">
        <v>1</v>
      </c>
      <c r="D24">
        <v>0</v>
      </c>
      <c r="E24">
        <v>1</v>
      </c>
      <c r="F24">
        <v>0.25</v>
      </c>
      <c r="G24">
        <v>1</v>
      </c>
    </row>
    <row r="25" spans="1:7" x14ac:dyDescent="0.25">
      <c r="A25" t="str">
        <f>HYPERLINK("./new_k5/query_cmdrels_weight_analyze/0.4_0.3_0.3/au_133343.xlsx","au_133343")</f>
        <v>au_133343</v>
      </c>
      <c r="B25">
        <v>0</v>
      </c>
      <c r="C25">
        <v>0</v>
      </c>
      <c r="D25">
        <v>0</v>
      </c>
      <c r="E25">
        <v>0.33333333333333331</v>
      </c>
      <c r="F25">
        <v>0</v>
      </c>
      <c r="G25">
        <v>0.33333333333333331</v>
      </c>
    </row>
    <row r="26" spans="1:7" x14ac:dyDescent="0.25">
      <c r="A26" t="str">
        <f>HYPERLINK("./new_k5/query_cmdrels_weight_analyze/0.4_0.3_0.3/au_133389.xlsx","au_133389")</f>
        <v>au_133389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 x14ac:dyDescent="0.25">
      <c r="A27" t="str">
        <f>HYPERLINK("./new_k5/query_cmdrels_weight_analyze/0.4_0.3_0.3/au_141277.xlsx","au_141277")</f>
        <v>au_141277</v>
      </c>
      <c r="B27">
        <v>0</v>
      </c>
      <c r="C27">
        <v>1</v>
      </c>
      <c r="D27">
        <v>0</v>
      </c>
      <c r="E27">
        <v>1</v>
      </c>
      <c r="F27">
        <v>0.2</v>
      </c>
      <c r="G27">
        <v>1</v>
      </c>
    </row>
    <row r="28" spans="1:7" x14ac:dyDescent="0.25">
      <c r="A28" t="str">
        <f>HYPERLINK("./new_k5/query_cmdrels_weight_analyze/0.4_0.3_0.3/au_143819.xlsx","au_143819")</f>
        <v>au_143819</v>
      </c>
      <c r="B28">
        <v>0</v>
      </c>
      <c r="C28">
        <v>1</v>
      </c>
      <c r="D28">
        <v>0.33333333333333298</v>
      </c>
      <c r="E28">
        <v>1</v>
      </c>
      <c r="F28">
        <v>0.33333333333333298</v>
      </c>
      <c r="G28">
        <v>1</v>
      </c>
    </row>
    <row r="29" spans="1:7" x14ac:dyDescent="0.25">
      <c r="A29" t="str">
        <f>HYPERLINK("./new_k5/query_cmdrels_weight_analyze/0.4_0.3_0.3/au_145935.xlsx","au_145935")</f>
        <v>au_145935</v>
      </c>
      <c r="B29">
        <v>0</v>
      </c>
      <c r="C29">
        <v>1</v>
      </c>
      <c r="D29">
        <v>0</v>
      </c>
      <c r="E29">
        <v>1</v>
      </c>
      <c r="F29">
        <v>0</v>
      </c>
      <c r="G29">
        <v>1</v>
      </c>
    </row>
    <row r="30" spans="1:7" x14ac:dyDescent="0.25">
      <c r="A30" t="str">
        <f>HYPERLINK("./new_k5/query_cmdrels_weight_analyze/0.4_0.3_0.3/au_147241.xlsx","au_147241")</f>
        <v>au_147241</v>
      </c>
      <c r="B30">
        <v>1</v>
      </c>
      <c r="C30">
        <v>0</v>
      </c>
      <c r="D30">
        <v>1</v>
      </c>
      <c r="E30">
        <v>0.5</v>
      </c>
      <c r="F30">
        <v>1</v>
      </c>
      <c r="G30">
        <v>0.5</v>
      </c>
    </row>
    <row r="31" spans="1:7" x14ac:dyDescent="0.25">
      <c r="A31" t="str">
        <f>HYPERLINK("./new_k5/query_cmdrels_weight_analyze/0.4_0.3_0.3/au_147800.xlsx","au_147800")</f>
        <v>au_147800</v>
      </c>
      <c r="B31">
        <v>0</v>
      </c>
      <c r="C31">
        <v>0</v>
      </c>
      <c r="D31">
        <v>0.33333333333333298</v>
      </c>
      <c r="E31">
        <v>0.33333333333333331</v>
      </c>
      <c r="F31">
        <v>0.33333333333333298</v>
      </c>
      <c r="G31">
        <v>0.33333333333333331</v>
      </c>
    </row>
    <row r="32" spans="1:7" x14ac:dyDescent="0.25">
      <c r="A32" t="str">
        <f>HYPERLINK("./new_k5/query_cmdrels_weight_analyze/0.4_0.3_0.3/au_148321.xlsx","au_148321")</f>
        <v>au_148321</v>
      </c>
      <c r="B32">
        <v>0</v>
      </c>
      <c r="C32">
        <v>1</v>
      </c>
      <c r="D32">
        <v>0.5</v>
      </c>
      <c r="E32">
        <v>1</v>
      </c>
      <c r="F32">
        <v>0.5</v>
      </c>
      <c r="G32">
        <v>1</v>
      </c>
    </row>
    <row r="33" spans="1:7" x14ac:dyDescent="0.25">
      <c r="A33" t="str">
        <f>HYPERLINK("./new_k5/query_cmdrels_weight_analyze/0.4_0.3_0.3/au_148638.xlsx","au_148638")</f>
        <v>au_148638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</row>
    <row r="34" spans="1:7" x14ac:dyDescent="0.25">
      <c r="A34" t="str">
        <f>HYPERLINK("./new_k5/query_cmdrels_weight_analyze/0.4_0.3_0.3/au_151049.xlsx","au_151049")</f>
        <v>au_151049</v>
      </c>
      <c r="B34">
        <v>0</v>
      </c>
      <c r="C34">
        <v>1</v>
      </c>
      <c r="D34">
        <v>0.5</v>
      </c>
      <c r="E34">
        <v>1</v>
      </c>
      <c r="F34">
        <v>0.5</v>
      </c>
      <c r="G34">
        <v>1</v>
      </c>
    </row>
    <row r="35" spans="1:7" x14ac:dyDescent="0.25">
      <c r="A35" t="str">
        <f>HYPERLINK("./new_k5/query_cmdrels_weight_analyze/0.4_0.3_0.3/au_151941.xlsx","au_151941")</f>
        <v>au_151941</v>
      </c>
      <c r="B35">
        <v>0</v>
      </c>
      <c r="C35">
        <v>1</v>
      </c>
      <c r="D35">
        <v>0.5</v>
      </c>
      <c r="E35">
        <v>1</v>
      </c>
      <c r="F35">
        <v>0.5</v>
      </c>
      <c r="G35">
        <v>1</v>
      </c>
    </row>
    <row r="36" spans="1:7" x14ac:dyDescent="0.25">
      <c r="A36" t="str">
        <f>HYPERLINK("./new_k5/query_cmdrels_weight_analyze/0.4_0.3_0.3/au_152297.xlsx","au_152297")</f>
        <v>au_152297</v>
      </c>
      <c r="B36">
        <v>0</v>
      </c>
      <c r="C36">
        <v>0</v>
      </c>
      <c r="D36">
        <v>0.33333333333333298</v>
      </c>
      <c r="E36">
        <v>0.5</v>
      </c>
      <c r="F36">
        <v>0.33333333333333298</v>
      </c>
      <c r="G36">
        <v>0.5</v>
      </c>
    </row>
    <row r="37" spans="1:7" x14ac:dyDescent="0.25">
      <c r="A37" t="str">
        <f>HYPERLINK("./new_k5/query_cmdrels_weight_analyze/0.4_0.3_0.3/au_153976.xlsx","au_153976")</f>
        <v>au_153976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</row>
    <row r="38" spans="1:7" x14ac:dyDescent="0.25">
      <c r="A38" t="str">
        <f>HYPERLINK("./new_k5/query_cmdrels_weight_analyze/0.4_0.3_0.3/au_154431.xlsx","au_154431")</f>
        <v>au_154431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</row>
    <row r="39" spans="1:7" x14ac:dyDescent="0.25">
      <c r="A39" t="str">
        <f>HYPERLINK("./new_k5/query_cmdrels_weight_analyze/0.4_0.3_0.3/au_159708.xlsx","au_159708")</f>
        <v>au_159708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</row>
    <row r="40" spans="1:7" x14ac:dyDescent="0.25">
      <c r="A40" t="str">
        <f>HYPERLINK("./new_k5/query_cmdrels_weight_analyze/0.4_0.3_0.3/au_160869.xlsx","au_160869")</f>
        <v>au_160869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</row>
    <row r="41" spans="1:7" x14ac:dyDescent="0.25">
      <c r="A41" t="str">
        <f>HYPERLINK("./new_k5/query_cmdrels_weight_analyze/0.4_0.3_0.3/au_161313.xlsx","au_161313")</f>
        <v>au_161313</v>
      </c>
      <c r="B41">
        <v>1</v>
      </c>
      <c r="C41">
        <v>0</v>
      </c>
      <c r="D41">
        <v>1</v>
      </c>
      <c r="E41">
        <v>0</v>
      </c>
      <c r="F41">
        <v>1</v>
      </c>
      <c r="G41">
        <v>0.25</v>
      </c>
    </row>
    <row r="42" spans="1:7" x14ac:dyDescent="0.25">
      <c r="A42" t="str">
        <f>HYPERLINK("./new_k5/query_cmdrels_weight_analyze/0.4_0.3_0.3/au_162075.xlsx","au_162075")</f>
        <v>au_162075</v>
      </c>
      <c r="B42">
        <v>0</v>
      </c>
      <c r="C42">
        <v>1</v>
      </c>
      <c r="D42">
        <v>0</v>
      </c>
      <c r="E42">
        <v>1</v>
      </c>
      <c r="F42">
        <v>0</v>
      </c>
      <c r="G42">
        <v>1</v>
      </c>
    </row>
    <row r="43" spans="1:7" x14ac:dyDescent="0.25">
      <c r="A43" t="str">
        <f>HYPERLINK("./new_k5/query_cmdrels_weight_analyze/0.4_0.3_0.3/au_16277.xlsx","au_16277")</f>
        <v>au_16277</v>
      </c>
      <c r="B43">
        <v>0</v>
      </c>
      <c r="C43">
        <v>1</v>
      </c>
      <c r="D43">
        <v>0.5</v>
      </c>
      <c r="E43">
        <v>1</v>
      </c>
      <c r="F43">
        <v>0.5</v>
      </c>
      <c r="G43">
        <v>1</v>
      </c>
    </row>
    <row r="44" spans="1:7" x14ac:dyDescent="0.25">
      <c r="A44" t="str">
        <f>HYPERLINK("./new_k5/query_cmdrels_weight_analyze/0.4_0.3_0.3/au_163155.xlsx","au_163155")</f>
        <v>au_163155</v>
      </c>
      <c r="B44">
        <v>0</v>
      </c>
      <c r="C44">
        <v>1</v>
      </c>
      <c r="D44">
        <v>0.5</v>
      </c>
      <c r="E44">
        <v>1</v>
      </c>
      <c r="F44">
        <v>0.5</v>
      </c>
      <c r="G44">
        <v>1</v>
      </c>
    </row>
    <row r="45" spans="1:7" x14ac:dyDescent="0.25">
      <c r="A45" t="str">
        <f>HYPERLINK("./new_k5/query_cmdrels_weight_analyze/0.4_0.3_0.3/au_164473.xlsx","au_164473")</f>
        <v>au_164473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</row>
    <row r="46" spans="1:7" x14ac:dyDescent="0.25">
      <c r="A46" t="str">
        <f>HYPERLINK("./new_k5/query_cmdrels_weight_analyze/0.4_0.3_0.3/au_16584.xlsx","au_16584")</f>
        <v>au_16584</v>
      </c>
      <c r="B46">
        <v>0</v>
      </c>
      <c r="C46">
        <v>1</v>
      </c>
      <c r="D46">
        <v>0.5</v>
      </c>
      <c r="E46">
        <v>1</v>
      </c>
      <c r="F46">
        <v>0.5</v>
      </c>
      <c r="G46">
        <v>1</v>
      </c>
    </row>
    <row r="47" spans="1:7" x14ac:dyDescent="0.25">
      <c r="A47" t="str">
        <f>HYPERLINK("./new_k5/query_cmdrels_weight_analyze/0.4_0.3_0.3/au_166420.xlsx","au_166420")</f>
        <v>au_166420</v>
      </c>
      <c r="B47">
        <v>0</v>
      </c>
      <c r="C47">
        <v>1</v>
      </c>
      <c r="D47">
        <v>0</v>
      </c>
      <c r="E47">
        <v>1</v>
      </c>
      <c r="F47">
        <v>0.2</v>
      </c>
      <c r="G47">
        <v>1</v>
      </c>
    </row>
    <row r="48" spans="1:7" x14ac:dyDescent="0.25">
      <c r="A48" t="str">
        <f>HYPERLINK("./new_k5/query_cmdrels_weight_analyze/0.4_0.3_0.3/au_169473.xlsx","au_169473")</f>
        <v>au_169473</v>
      </c>
      <c r="B48">
        <v>0</v>
      </c>
      <c r="C48">
        <v>1</v>
      </c>
      <c r="D48">
        <v>0</v>
      </c>
      <c r="E48">
        <v>1</v>
      </c>
      <c r="F48">
        <v>0.2</v>
      </c>
      <c r="G48">
        <v>1</v>
      </c>
    </row>
    <row r="49" spans="1:7" x14ac:dyDescent="0.25">
      <c r="A49" t="str">
        <f>HYPERLINK("./new_k5/query_cmdrels_weight_analyze/0.4_0.3_0.3/au_169516.xlsx","au_169516")</f>
        <v>au_169516</v>
      </c>
      <c r="B49">
        <v>0</v>
      </c>
      <c r="C49">
        <v>1</v>
      </c>
      <c r="D49">
        <v>0</v>
      </c>
      <c r="E49">
        <v>1</v>
      </c>
      <c r="F49">
        <v>0.25</v>
      </c>
      <c r="G49">
        <v>1</v>
      </c>
    </row>
    <row r="50" spans="1:7" x14ac:dyDescent="0.25">
      <c r="A50" t="str">
        <f>HYPERLINK("./new_k5/query_cmdrels_weight_analyze/0.4_0.3_0.3/au_174292.xlsx","au_174292")</f>
        <v>au_174292</v>
      </c>
      <c r="B50">
        <v>0</v>
      </c>
      <c r="C50">
        <v>1</v>
      </c>
      <c r="D50">
        <v>0</v>
      </c>
      <c r="E50">
        <v>1</v>
      </c>
      <c r="F50">
        <v>0</v>
      </c>
      <c r="G50">
        <v>1</v>
      </c>
    </row>
    <row r="51" spans="1:7" x14ac:dyDescent="0.25">
      <c r="A51" t="str">
        <f>HYPERLINK("./new_k5/query_cmdrels_weight_analyze/0.4_0.3_0.3/au_178481.xlsx","au_178481")</f>
        <v>au_178481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</row>
    <row r="52" spans="1:7" x14ac:dyDescent="0.25">
      <c r="A52" t="str">
        <f>HYPERLINK("./new_k5/query_cmdrels_weight_analyze/0.4_0.3_0.3/au_180925.xlsx","au_180925")</f>
        <v>au_180925</v>
      </c>
      <c r="B52">
        <v>0</v>
      </c>
      <c r="C52">
        <v>1</v>
      </c>
      <c r="D52">
        <v>0</v>
      </c>
      <c r="E52">
        <v>1</v>
      </c>
      <c r="F52">
        <v>0</v>
      </c>
      <c r="G52">
        <v>1</v>
      </c>
    </row>
    <row r="53" spans="1:7" x14ac:dyDescent="0.25">
      <c r="A53" t="str">
        <f>HYPERLINK("./new_k5/query_cmdrels_weight_analyze/0.4_0.3_0.3/au_187888.xlsx","au_187888")</f>
        <v>au_187888</v>
      </c>
      <c r="B53">
        <v>0</v>
      </c>
      <c r="C53">
        <v>1</v>
      </c>
      <c r="D53">
        <v>0.5</v>
      </c>
      <c r="E53">
        <v>1</v>
      </c>
      <c r="F53">
        <v>0.5</v>
      </c>
      <c r="G53">
        <v>1</v>
      </c>
    </row>
    <row r="54" spans="1:7" x14ac:dyDescent="0.25">
      <c r="A54" t="str">
        <f>HYPERLINK("./new_k5/query_cmdrels_weight_analyze/0.4_0.3_0.3/au_191390.xlsx","au_191390")</f>
        <v>au_191390</v>
      </c>
      <c r="B54">
        <v>0</v>
      </c>
      <c r="C54">
        <v>1</v>
      </c>
      <c r="D54">
        <v>0.5</v>
      </c>
      <c r="E54">
        <v>1</v>
      </c>
      <c r="F54">
        <v>0.5</v>
      </c>
      <c r="G54">
        <v>1</v>
      </c>
    </row>
    <row r="55" spans="1:7" x14ac:dyDescent="0.25">
      <c r="A55" t="str">
        <f>HYPERLINK("./new_k5/query_cmdrels_weight_analyze/0.4_0.3_0.3/au_192798.xlsx","au_192798")</f>
        <v>au_192798</v>
      </c>
      <c r="B55">
        <v>1</v>
      </c>
      <c r="C55">
        <v>1</v>
      </c>
      <c r="D55">
        <v>1</v>
      </c>
      <c r="E55">
        <v>1</v>
      </c>
      <c r="F55">
        <v>1</v>
      </c>
      <c r="G55">
        <v>1</v>
      </c>
    </row>
    <row r="56" spans="1:7" x14ac:dyDescent="0.25">
      <c r="A56" t="str">
        <f>HYPERLINK("./new_k5/query_cmdrels_weight_analyze/0.4_0.3_0.3/au_201775.xlsx","au_201775")</f>
        <v>au_201775</v>
      </c>
      <c r="B56">
        <v>1</v>
      </c>
      <c r="C56">
        <v>1</v>
      </c>
      <c r="D56">
        <v>1</v>
      </c>
      <c r="E56">
        <v>1</v>
      </c>
      <c r="F56">
        <v>1</v>
      </c>
      <c r="G56">
        <v>1</v>
      </c>
    </row>
    <row r="57" spans="1:7" x14ac:dyDescent="0.25">
      <c r="A57" t="str">
        <f>HYPERLINK("./new_k5/query_cmdrels_weight_analyze/0.4_0.3_0.3/au_204166.xlsx","au_204166")</f>
        <v>au_204166</v>
      </c>
      <c r="B57">
        <v>0</v>
      </c>
      <c r="C57">
        <v>1</v>
      </c>
      <c r="D57">
        <v>0.33333333333333298</v>
      </c>
      <c r="E57">
        <v>1</v>
      </c>
      <c r="F57">
        <v>0.33333333333333298</v>
      </c>
      <c r="G57">
        <v>1</v>
      </c>
    </row>
    <row r="58" spans="1:7" x14ac:dyDescent="0.25">
      <c r="A58" t="str">
        <f>HYPERLINK("./new_k5/query_cmdrels_weight_analyze/0.4_0.3_0.3/au_207447.xlsx","au_207447")</f>
        <v>au_207447</v>
      </c>
      <c r="B58">
        <v>0</v>
      </c>
      <c r="C58">
        <v>0</v>
      </c>
      <c r="D58">
        <v>0</v>
      </c>
      <c r="E58">
        <v>0.5</v>
      </c>
      <c r="F58">
        <v>0.2</v>
      </c>
      <c r="G58">
        <v>0.5</v>
      </c>
    </row>
    <row r="59" spans="1:7" x14ac:dyDescent="0.25">
      <c r="A59" t="str">
        <f>HYPERLINK("./new_k5/query_cmdrels_weight_analyze/0.4_0.3_0.3/au_210680.xlsx","au_210680")</f>
        <v>au_210680</v>
      </c>
      <c r="B59">
        <v>0</v>
      </c>
      <c r="C59">
        <v>1</v>
      </c>
      <c r="D59">
        <v>0</v>
      </c>
      <c r="E59">
        <v>1</v>
      </c>
      <c r="F59">
        <v>0.25</v>
      </c>
      <c r="G59">
        <v>1</v>
      </c>
    </row>
    <row r="60" spans="1:7" x14ac:dyDescent="0.25">
      <c r="A60" t="str">
        <f>HYPERLINK("./new_k5/query_cmdrels_weight_analyze/0.4_0.3_0.3/au_214246.xlsx","au_214246")</f>
        <v>au_214246</v>
      </c>
      <c r="B60">
        <v>0</v>
      </c>
      <c r="C60">
        <v>1</v>
      </c>
      <c r="D60">
        <v>0</v>
      </c>
      <c r="E60">
        <v>1</v>
      </c>
      <c r="F60">
        <v>0.25</v>
      </c>
      <c r="G60">
        <v>1</v>
      </c>
    </row>
    <row r="61" spans="1:7" x14ac:dyDescent="0.25">
      <c r="A61" t="str">
        <f>HYPERLINK("./new_k5/query_cmdrels_weight_analyze/0.4_0.3_0.3/au_214643.xlsx","au_214643")</f>
        <v>au_214643</v>
      </c>
      <c r="B61">
        <v>1</v>
      </c>
      <c r="C61">
        <v>1</v>
      </c>
      <c r="D61">
        <v>1</v>
      </c>
      <c r="E61">
        <v>1</v>
      </c>
      <c r="F61">
        <v>1</v>
      </c>
      <c r="G61">
        <v>1</v>
      </c>
    </row>
    <row r="62" spans="1:7" x14ac:dyDescent="0.25">
      <c r="A62" t="str">
        <f>HYPERLINK("./new_k5/query_cmdrels_weight_analyze/0.4_0.3_0.3/au_2194.xlsx","au_2194")</f>
        <v>au_2194</v>
      </c>
      <c r="B62">
        <v>0</v>
      </c>
      <c r="C62">
        <v>0</v>
      </c>
      <c r="D62">
        <v>0</v>
      </c>
      <c r="E62">
        <v>0.5</v>
      </c>
      <c r="F62">
        <v>0</v>
      </c>
      <c r="G62">
        <v>0.5</v>
      </c>
    </row>
    <row r="63" spans="1:7" x14ac:dyDescent="0.25">
      <c r="A63" t="str">
        <f>HYPERLINK("./new_k5/query_cmdrels_weight_analyze/0.4_0.3_0.3/au_221962.xlsx","au_221962")</f>
        <v>au_221962</v>
      </c>
      <c r="B63">
        <v>0</v>
      </c>
      <c r="C63">
        <v>0</v>
      </c>
      <c r="D63">
        <v>0</v>
      </c>
      <c r="E63">
        <v>0.5</v>
      </c>
      <c r="F63">
        <v>0</v>
      </c>
      <c r="G63">
        <v>0.5</v>
      </c>
    </row>
    <row r="64" spans="1:7" x14ac:dyDescent="0.25">
      <c r="A64" t="str">
        <f>HYPERLINK("./new_k5/query_cmdrels_weight_analyze/0.4_0.3_0.3/au_22608.xlsx","au_22608")</f>
        <v>au_22608</v>
      </c>
      <c r="B64">
        <v>0</v>
      </c>
      <c r="C64">
        <v>1</v>
      </c>
      <c r="D64">
        <v>0</v>
      </c>
      <c r="E64">
        <v>1</v>
      </c>
      <c r="F64">
        <v>0.2</v>
      </c>
      <c r="G64">
        <v>1</v>
      </c>
    </row>
    <row r="65" spans="1:7" x14ac:dyDescent="0.25">
      <c r="A65" t="str">
        <f>HYPERLINK("./new_k5/query_cmdrels_weight_analyze/0.4_0.3_0.3/au_230698.xlsx","au_230698")</f>
        <v>au_230698</v>
      </c>
      <c r="B65">
        <v>1</v>
      </c>
      <c r="C65">
        <v>1</v>
      </c>
      <c r="D65">
        <v>1</v>
      </c>
      <c r="E65">
        <v>1</v>
      </c>
      <c r="F65">
        <v>1</v>
      </c>
      <c r="G65">
        <v>1</v>
      </c>
    </row>
    <row r="66" spans="1:7" x14ac:dyDescent="0.25">
      <c r="A66" t="str">
        <f>HYPERLINK("./new_k5/query_cmdrels_weight_analyze/0.4_0.3_0.3/au_232442.xlsx","au_232442")</f>
        <v>au_232442</v>
      </c>
      <c r="B66">
        <v>1</v>
      </c>
      <c r="C66">
        <v>0</v>
      </c>
      <c r="D66">
        <v>1</v>
      </c>
      <c r="E66">
        <v>0</v>
      </c>
      <c r="F66">
        <v>1</v>
      </c>
      <c r="G66">
        <v>0</v>
      </c>
    </row>
    <row r="67" spans="1:7" x14ac:dyDescent="0.25">
      <c r="A67" t="str">
        <f>HYPERLINK("./new_k5/query_cmdrels_weight_analyze/0.4_0.3_0.3/au_233378.xlsx","au_233378")</f>
        <v>au_233378</v>
      </c>
      <c r="B67">
        <v>1</v>
      </c>
      <c r="C67">
        <v>1</v>
      </c>
      <c r="D67">
        <v>1</v>
      </c>
      <c r="E67">
        <v>1</v>
      </c>
      <c r="F67">
        <v>1</v>
      </c>
      <c r="G67">
        <v>1</v>
      </c>
    </row>
    <row r="68" spans="1:7" x14ac:dyDescent="0.25">
      <c r="A68" t="str">
        <f>HYPERLINK("./new_k5/query_cmdrels_weight_analyze/0.4_0.3_0.3/au_24027.xlsx","au_24027")</f>
        <v>au_24027</v>
      </c>
      <c r="B68">
        <v>0</v>
      </c>
      <c r="C68">
        <v>1</v>
      </c>
      <c r="D68">
        <v>0.5</v>
      </c>
      <c r="E68">
        <v>1</v>
      </c>
      <c r="F68">
        <v>0.5</v>
      </c>
      <c r="G68">
        <v>1</v>
      </c>
    </row>
    <row r="69" spans="1:7" x14ac:dyDescent="0.25">
      <c r="A69" t="str">
        <f>HYPERLINK("./new_k5/query_cmdrels_weight_analyze/0.4_0.3_0.3/au_246647.xlsx","au_246647")</f>
        <v>au_246647</v>
      </c>
      <c r="B69">
        <v>1</v>
      </c>
      <c r="C69">
        <v>1</v>
      </c>
      <c r="D69">
        <v>1</v>
      </c>
      <c r="E69">
        <v>1</v>
      </c>
      <c r="F69">
        <v>1</v>
      </c>
      <c r="G69">
        <v>1</v>
      </c>
    </row>
    <row r="70" spans="1:7" x14ac:dyDescent="0.25">
      <c r="A70" t="str">
        <f>HYPERLINK("./new_k5/query_cmdrels_weight_analyze/0.4_0.3_0.3/au_254424.xlsx","au_254424")</f>
        <v>au_254424</v>
      </c>
      <c r="B70">
        <v>0</v>
      </c>
      <c r="C70">
        <v>0</v>
      </c>
      <c r="D70">
        <v>0</v>
      </c>
      <c r="E70">
        <v>0</v>
      </c>
      <c r="F70">
        <v>0.25</v>
      </c>
      <c r="G70">
        <v>0.25</v>
      </c>
    </row>
    <row r="71" spans="1:7" x14ac:dyDescent="0.25">
      <c r="A71" t="str">
        <f>HYPERLINK("./new_k5/query_cmdrels_weight_analyze/0.4_0.3_0.3/au_255890.xlsx","au_255890")</f>
        <v>au_255890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</row>
    <row r="72" spans="1:7" x14ac:dyDescent="0.25">
      <c r="A72" t="str">
        <f>HYPERLINK("./new_k5/query_cmdrels_weight_analyze/0.4_0.3_0.3/au_257248.xlsx","au_257248")</f>
        <v>au_257248</v>
      </c>
      <c r="B72">
        <v>0</v>
      </c>
      <c r="C72">
        <v>1</v>
      </c>
      <c r="D72">
        <v>0</v>
      </c>
      <c r="E72">
        <v>1</v>
      </c>
      <c r="F72">
        <v>0</v>
      </c>
      <c r="G72">
        <v>1</v>
      </c>
    </row>
    <row r="73" spans="1:7" x14ac:dyDescent="0.25">
      <c r="A73" t="str">
        <f>HYPERLINK("./new_k5/query_cmdrels_weight_analyze/0.4_0.3_0.3/au_259354.xlsx","au_259354")</f>
        <v>au_259354</v>
      </c>
      <c r="B73">
        <v>0</v>
      </c>
      <c r="C73">
        <v>1</v>
      </c>
      <c r="D73">
        <v>0.33333333333333298</v>
      </c>
      <c r="E73">
        <v>1</v>
      </c>
      <c r="F73">
        <v>0.33333333333333298</v>
      </c>
      <c r="G73">
        <v>1</v>
      </c>
    </row>
    <row r="74" spans="1:7" x14ac:dyDescent="0.25">
      <c r="A74" t="str">
        <f>HYPERLINK("./new_k5/query_cmdrels_weight_analyze/0.4_0.3_0.3/au_263378.xlsx","au_263378")</f>
        <v>au_263378</v>
      </c>
      <c r="B74">
        <v>0</v>
      </c>
      <c r="C74">
        <v>1</v>
      </c>
      <c r="D74">
        <v>0.33333333333333298</v>
      </c>
      <c r="E74">
        <v>1</v>
      </c>
      <c r="F74">
        <v>0.33333333333333298</v>
      </c>
      <c r="G74">
        <v>1</v>
      </c>
    </row>
    <row r="75" spans="1:7" x14ac:dyDescent="0.25">
      <c r="A75" t="str">
        <f>HYPERLINK("./new_k5/query_cmdrels_weight_analyze/0.4_0.3_0.3/au_264215.xlsx","au_264215")</f>
        <v>au_264215</v>
      </c>
      <c r="B75">
        <v>1</v>
      </c>
      <c r="C75">
        <v>1</v>
      </c>
      <c r="D75">
        <v>1</v>
      </c>
      <c r="E75">
        <v>1</v>
      </c>
      <c r="F75">
        <v>1</v>
      </c>
      <c r="G75">
        <v>1</v>
      </c>
    </row>
    <row r="76" spans="1:7" x14ac:dyDescent="0.25">
      <c r="A76" t="str">
        <f>HYPERLINK("./new_k5/query_cmdrels_weight_analyze/0.4_0.3_0.3/au_265176.xlsx","au_265176")</f>
        <v>au_265176</v>
      </c>
      <c r="B76">
        <v>1</v>
      </c>
      <c r="C76">
        <v>1</v>
      </c>
      <c r="D76">
        <v>1</v>
      </c>
      <c r="E76">
        <v>1</v>
      </c>
      <c r="F76">
        <v>1</v>
      </c>
      <c r="G76">
        <v>1</v>
      </c>
    </row>
    <row r="77" spans="1:7" x14ac:dyDescent="0.25">
      <c r="A77" t="str">
        <f>HYPERLINK("./new_k5/query_cmdrels_weight_analyze/0.4_0.3_0.3/au_275704.xlsx","au_275704")</f>
        <v>au_275704</v>
      </c>
      <c r="B77">
        <v>0</v>
      </c>
      <c r="C77">
        <v>1</v>
      </c>
      <c r="D77">
        <v>0.5</v>
      </c>
      <c r="E77">
        <v>1</v>
      </c>
      <c r="F77">
        <v>0.5</v>
      </c>
      <c r="G77">
        <v>1</v>
      </c>
    </row>
    <row r="78" spans="1:7" x14ac:dyDescent="0.25">
      <c r="A78" t="str">
        <f>HYPERLINK("./new_k5/query_cmdrels_weight_analyze/0.4_0.3_0.3/au_276669.xlsx","au_276669")</f>
        <v>au_276669</v>
      </c>
      <c r="B78">
        <v>0</v>
      </c>
      <c r="C78">
        <v>1</v>
      </c>
      <c r="D78">
        <v>0</v>
      </c>
      <c r="E78">
        <v>1</v>
      </c>
      <c r="F78">
        <v>0</v>
      </c>
      <c r="G78">
        <v>1</v>
      </c>
    </row>
    <row r="79" spans="1:7" x14ac:dyDescent="0.25">
      <c r="A79" t="str">
        <f>HYPERLINK("./new_k5/query_cmdrels_weight_analyze/0.4_0.3_0.3/au_277565.xlsx","au_277565")</f>
        <v>au_277565</v>
      </c>
      <c r="B79">
        <v>0</v>
      </c>
      <c r="C79">
        <v>1</v>
      </c>
      <c r="D79">
        <v>0</v>
      </c>
      <c r="E79">
        <v>1</v>
      </c>
      <c r="F79">
        <v>0</v>
      </c>
      <c r="G79">
        <v>1</v>
      </c>
    </row>
    <row r="80" spans="1:7" x14ac:dyDescent="0.25">
      <c r="A80" t="str">
        <f>HYPERLINK("./new_k5/query_cmdrels_weight_analyze/0.4_0.3_0.3/au_278403.xlsx","au_278403")</f>
        <v>au_278403</v>
      </c>
      <c r="B80">
        <v>0</v>
      </c>
      <c r="C80">
        <v>0</v>
      </c>
      <c r="D80">
        <v>0.33333333333333298</v>
      </c>
      <c r="E80">
        <v>0.33333333333333331</v>
      </c>
      <c r="F80">
        <v>0.33333333333333298</v>
      </c>
      <c r="G80">
        <v>0.33333333333333331</v>
      </c>
    </row>
    <row r="81" spans="1:7" x14ac:dyDescent="0.25">
      <c r="A81" t="str">
        <f>HYPERLINK("./new_k5/query_cmdrels_weight_analyze/0.4_0.3_0.3/au_28039.xlsx","au_28039")</f>
        <v>au_28039</v>
      </c>
      <c r="B81">
        <v>0</v>
      </c>
      <c r="C81">
        <v>0</v>
      </c>
      <c r="D81">
        <v>0</v>
      </c>
      <c r="E81">
        <v>0</v>
      </c>
      <c r="F81">
        <v>0</v>
      </c>
      <c r="G81">
        <v>0.2</v>
      </c>
    </row>
    <row r="82" spans="1:7" x14ac:dyDescent="0.25">
      <c r="A82" t="str">
        <f>HYPERLINK("./new_k5/query_cmdrels_weight_analyze/0.4_0.3_0.3/au_281509.xlsx","au_281509")</f>
        <v>au_281509</v>
      </c>
      <c r="B82">
        <v>0</v>
      </c>
      <c r="C82">
        <v>1</v>
      </c>
      <c r="D82">
        <v>0</v>
      </c>
      <c r="E82">
        <v>1</v>
      </c>
      <c r="F82">
        <v>0</v>
      </c>
      <c r="G82">
        <v>1</v>
      </c>
    </row>
    <row r="83" spans="1:7" x14ac:dyDescent="0.25">
      <c r="A83" t="str">
        <f>HYPERLINK("./new_k5/query_cmdrels_weight_analyze/0.4_0.3_0.3/au_282806.xlsx","au_282806")</f>
        <v>au_282806</v>
      </c>
      <c r="B83">
        <v>0</v>
      </c>
      <c r="C83">
        <v>1</v>
      </c>
      <c r="D83">
        <v>0</v>
      </c>
      <c r="E83">
        <v>1</v>
      </c>
      <c r="F83">
        <v>0</v>
      </c>
      <c r="G83">
        <v>1</v>
      </c>
    </row>
    <row r="84" spans="1:7" x14ac:dyDescent="0.25">
      <c r="A84" t="str">
        <f>HYPERLINK("./new_k5/query_cmdrels_weight_analyze/0.4_0.3_0.3/au_283559.xlsx","au_283559")</f>
        <v>au_283559</v>
      </c>
      <c r="B84">
        <v>0</v>
      </c>
      <c r="C84">
        <v>1</v>
      </c>
      <c r="D84">
        <v>0</v>
      </c>
      <c r="E84">
        <v>1</v>
      </c>
      <c r="F84">
        <v>0</v>
      </c>
      <c r="G84">
        <v>1</v>
      </c>
    </row>
    <row r="85" spans="1:7" x14ac:dyDescent="0.25">
      <c r="A85" t="str">
        <f>HYPERLINK("./new_k5/query_cmdrels_weight_analyze/0.4_0.3_0.3/au_285539.xlsx","au_285539")</f>
        <v>au_285539</v>
      </c>
      <c r="B85">
        <v>0</v>
      </c>
      <c r="C85">
        <v>1</v>
      </c>
      <c r="D85">
        <v>0</v>
      </c>
      <c r="E85">
        <v>1</v>
      </c>
      <c r="F85">
        <v>0.25</v>
      </c>
      <c r="G85">
        <v>1</v>
      </c>
    </row>
    <row r="86" spans="1:7" x14ac:dyDescent="0.25">
      <c r="A86" t="str">
        <f>HYPERLINK("./new_k5/query_cmdrels_weight_analyze/0.4_0.3_0.3/au_287532.xlsx","au_287532")</f>
        <v>au_287532</v>
      </c>
      <c r="B86">
        <v>0</v>
      </c>
      <c r="C86">
        <v>0</v>
      </c>
      <c r="D86">
        <v>0</v>
      </c>
      <c r="E86">
        <v>0.33333333333333331</v>
      </c>
      <c r="F86">
        <v>0</v>
      </c>
      <c r="G86">
        <v>0.33333333333333331</v>
      </c>
    </row>
    <row r="87" spans="1:7" x14ac:dyDescent="0.25">
      <c r="A87" t="str">
        <f>HYPERLINK("./new_k5/query_cmdrels_weight_analyze/0.4_0.3_0.3/au_294257.xlsx","au_294257")</f>
        <v>au_294257</v>
      </c>
      <c r="B87">
        <v>0</v>
      </c>
      <c r="C87">
        <v>1</v>
      </c>
      <c r="D87">
        <v>0.5</v>
      </c>
      <c r="E87">
        <v>1</v>
      </c>
      <c r="F87">
        <v>0.5</v>
      </c>
      <c r="G87">
        <v>1</v>
      </c>
    </row>
    <row r="88" spans="1:7" x14ac:dyDescent="0.25">
      <c r="A88" t="str">
        <f>HYPERLINK("./new_k5/query_cmdrels_weight_analyze/0.4_0.3_0.3/au_296155.xlsx","au_296155")</f>
        <v>au_296155</v>
      </c>
      <c r="B88">
        <v>0</v>
      </c>
      <c r="C88">
        <v>1</v>
      </c>
      <c r="D88">
        <v>0.33333333333333298</v>
      </c>
      <c r="E88">
        <v>1</v>
      </c>
      <c r="F88">
        <v>0.33333333333333298</v>
      </c>
      <c r="G88">
        <v>1</v>
      </c>
    </row>
    <row r="89" spans="1:7" x14ac:dyDescent="0.25">
      <c r="A89" t="str">
        <f>HYPERLINK("./new_k5/query_cmdrels_weight_analyze/0.4_0.3_0.3/au_299975.xlsx","au_299975")</f>
        <v>au_299975</v>
      </c>
      <c r="B89">
        <v>0</v>
      </c>
      <c r="C89">
        <v>0</v>
      </c>
      <c r="D89">
        <v>0</v>
      </c>
      <c r="E89">
        <v>0.33333333333333331</v>
      </c>
      <c r="F89">
        <v>0</v>
      </c>
      <c r="G89">
        <v>0.33333333333333331</v>
      </c>
    </row>
    <row r="90" spans="1:7" x14ac:dyDescent="0.25">
      <c r="A90" t="str">
        <f>HYPERLINK("./new_k5/query_cmdrels_weight_analyze/0.4_0.3_0.3/au_301096.xlsx","au_301096")</f>
        <v>au_301096</v>
      </c>
      <c r="B90">
        <v>0</v>
      </c>
      <c r="C90">
        <v>1</v>
      </c>
      <c r="D90">
        <v>0.5</v>
      </c>
      <c r="E90">
        <v>1</v>
      </c>
      <c r="F90">
        <v>0.5</v>
      </c>
      <c r="G90">
        <v>1</v>
      </c>
    </row>
    <row r="91" spans="1:7" x14ac:dyDescent="0.25">
      <c r="A91" t="str">
        <f>HYPERLINK("./new_k5/query_cmdrels_weight_analyze/0.4_0.3_0.3/au_303593.xlsx","au_303593")</f>
        <v>au_303593</v>
      </c>
      <c r="B91">
        <v>1</v>
      </c>
      <c r="C91">
        <v>1</v>
      </c>
      <c r="D91">
        <v>1</v>
      </c>
      <c r="E91">
        <v>1</v>
      </c>
      <c r="F91">
        <v>1</v>
      </c>
      <c r="G91">
        <v>1</v>
      </c>
    </row>
    <row r="92" spans="1:7" x14ac:dyDescent="0.25">
      <c r="A92" t="str">
        <f>HYPERLINK("./new_k5/query_cmdrels_weight_analyze/0.4_0.3_0.3/au_303849.xlsx","au_303849")</f>
        <v>au_303849</v>
      </c>
      <c r="B92">
        <v>1</v>
      </c>
      <c r="C92">
        <v>1</v>
      </c>
      <c r="D92">
        <v>1</v>
      </c>
      <c r="E92">
        <v>1</v>
      </c>
      <c r="F92">
        <v>1</v>
      </c>
      <c r="G92">
        <v>1</v>
      </c>
    </row>
    <row r="93" spans="1:7" x14ac:dyDescent="0.25">
      <c r="A93" t="str">
        <f>HYPERLINK("./new_k5/query_cmdrels_weight_analyze/0.4_0.3_0.3/au_307541.xlsx","au_307541")</f>
        <v>au_307541</v>
      </c>
      <c r="B93">
        <v>0</v>
      </c>
      <c r="C93">
        <v>0</v>
      </c>
      <c r="D93">
        <v>0</v>
      </c>
      <c r="E93">
        <v>0</v>
      </c>
      <c r="F93">
        <v>0.25</v>
      </c>
      <c r="G93">
        <v>0</v>
      </c>
    </row>
    <row r="94" spans="1:7" x14ac:dyDescent="0.25">
      <c r="A94" t="str">
        <f>HYPERLINK("./new_k5/query_cmdrels_weight_analyze/0.4_0.3_0.3/au_307688.xlsx","au_307688")</f>
        <v>au_307688</v>
      </c>
      <c r="B94">
        <v>0</v>
      </c>
      <c r="C94">
        <v>1</v>
      </c>
      <c r="D94">
        <v>0.5</v>
      </c>
      <c r="E94">
        <v>1</v>
      </c>
      <c r="F94">
        <v>0.5</v>
      </c>
      <c r="G94">
        <v>1</v>
      </c>
    </row>
    <row r="95" spans="1:7" x14ac:dyDescent="0.25">
      <c r="A95" t="str">
        <f>HYPERLINK("./new_k5/query_cmdrels_weight_analyze/0.4_0.3_0.3/au_309047.xlsx","au_309047")</f>
        <v>au_309047</v>
      </c>
      <c r="B95">
        <v>0</v>
      </c>
      <c r="C95">
        <v>1</v>
      </c>
      <c r="D95">
        <v>0</v>
      </c>
      <c r="E95">
        <v>1</v>
      </c>
      <c r="F95">
        <v>0.25</v>
      </c>
      <c r="G95">
        <v>1</v>
      </c>
    </row>
    <row r="96" spans="1:7" x14ac:dyDescent="0.25">
      <c r="A96" t="str">
        <f>HYPERLINK("./new_k5/query_cmdrels_weight_analyze/0.4_0.3_0.3/au_311558.xlsx","au_311558")</f>
        <v>au_311558</v>
      </c>
      <c r="B96">
        <v>1</v>
      </c>
      <c r="C96">
        <v>1</v>
      </c>
      <c r="D96">
        <v>1</v>
      </c>
      <c r="E96">
        <v>1</v>
      </c>
      <c r="F96">
        <v>1</v>
      </c>
      <c r="G96">
        <v>1</v>
      </c>
    </row>
    <row r="97" spans="1:7" x14ac:dyDescent="0.25">
      <c r="A97" t="str">
        <f>HYPERLINK("./new_k5/query_cmdrels_weight_analyze/0.4_0.3_0.3/au_318973.xlsx","au_318973")</f>
        <v>au_318973</v>
      </c>
      <c r="B97">
        <v>0</v>
      </c>
      <c r="C97">
        <v>1</v>
      </c>
      <c r="D97">
        <v>0</v>
      </c>
      <c r="E97">
        <v>1</v>
      </c>
      <c r="F97">
        <v>0</v>
      </c>
      <c r="G97">
        <v>1</v>
      </c>
    </row>
    <row r="98" spans="1:7" x14ac:dyDescent="0.25">
      <c r="A98" t="str">
        <f>HYPERLINK("./new_k5/query_cmdrels_weight_analyze/0.4_0.3_0.3/au_3205.xlsx","au_3205")</f>
        <v>au_3205</v>
      </c>
      <c r="B98">
        <v>0</v>
      </c>
      <c r="C98">
        <v>1</v>
      </c>
      <c r="D98">
        <v>0</v>
      </c>
      <c r="E98">
        <v>1</v>
      </c>
      <c r="F98">
        <v>0.25</v>
      </c>
      <c r="G98">
        <v>1</v>
      </c>
    </row>
    <row r="99" spans="1:7" x14ac:dyDescent="0.25">
      <c r="A99" t="str">
        <f>HYPERLINK("./new_k5/query_cmdrels_weight_analyze/0.4_0.3_0.3/au_323131.xlsx","au_323131")</f>
        <v>au_323131</v>
      </c>
      <c r="B99">
        <v>0</v>
      </c>
      <c r="C99">
        <v>1</v>
      </c>
      <c r="D99">
        <v>0</v>
      </c>
      <c r="E99">
        <v>1</v>
      </c>
      <c r="F99">
        <v>0.25</v>
      </c>
      <c r="G99">
        <v>1</v>
      </c>
    </row>
    <row r="100" spans="1:7" x14ac:dyDescent="0.25">
      <c r="A100" t="str">
        <f>HYPERLINK("./new_k5/query_cmdrels_weight_analyze/0.4_0.3_0.3/au_323392.xlsx","au_323392")</f>
        <v>au_323392</v>
      </c>
      <c r="B100">
        <v>0</v>
      </c>
      <c r="C100">
        <v>1</v>
      </c>
      <c r="D100">
        <v>0.5</v>
      </c>
      <c r="E100">
        <v>1</v>
      </c>
      <c r="F100">
        <v>0.5</v>
      </c>
      <c r="G100">
        <v>1</v>
      </c>
    </row>
    <row r="101" spans="1:7" x14ac:dyDescent="0.25">
      <c r="A101" t="str">
        <f>HYPERLINK("./new_k5/query_cmdrels_weight_analyze/0.4_0.3_0.3/au_325368.xlsx","au_325368")</f>
        <v>au_325368</v>
      </c>
      <c r="B101">
        <v>0</v>
      </c>
      <c r="C101">
        <v>1</v>
      </c>
      <c r="D101">
        <v>0.33333333333333298</v>
      </c>
      <c r="E101">
        <v>1</v>
      </c>
      <c r="F101">
        <v>0.33333333333333298</v>
      </c>
      <c r="G101">
        <v>1</v>
      </c>
    </row>
    <row r="102" spans="1:7" x14ac:dyDescent="0.25">
      <c r="A102" t="str">
        <f>HYPERLINK("./new_k5/query_cmdrels_weight_analyze/0.4_0.3_0.3/au_328162.xlsx","au_328162")</f>
        <v>au_328162</v>
      </c>
      <c r="B102">
        <v>1</v>
      </c>
      <c r="C102">
        <v>1</v>
      </c>
      <c r="D102">
        <v>1</v>
      </c>
      <c r="E102">
        <v>1</v>
      </c>
      <c r="F102">
        <v>1</v>
      </c>
      <c r="G102">
        <v>1</v>
      </c>
    </row>
    <row r="103" spans="1:7" x14ac:dyDescent="0.25">
      <c r="A103" t="str">
        <f>HYPERLINK("./new_k5/query_cmdrels_weight_analyze/0.4_0.3_0.3/au_330148.xlsx","au_330148")</f>
        <v>au_330148</v>
      </c>
      <c r="B103">
        <v>0</v>
      </c>
      <c r="C103">
        <v>1</v>
      </c>
      <c r="D103">
        <v>0</v>
      </c>
      <c r="E103">
        <v>1</v>
      </c>
      <c r="F103">
        <v>0.25</v>
      </c>
      <c r="G103">
        <v>1</v>
      </c>
    </row>
    <row r="104" spans="1:7" x14ac:dyDescent="0.25">
      <c r="A104" t="str">
        <f>HYPERLINK("./new_k5/query_cmdrels_weight_analyze/0.4_0.3_0.3/au_332315.xlsx","au_332315")</f>
        <v>au_332315</v>
      </c>
      <c r="B104">
        <v>0</v>
      </c>
      <c r="C104">
        <v>0</v>
      </c>
      <c r="D104">
        <v>0</v>
      </c>
      <c r="E104">
        <v>0.5</v>
      </c>
      <c r="F104">
        <v>0</v>
      </c>
      <c r="G104">
        <v>0.5</v>
      </c>
    </row>
    <row r="105" spans="1:7" x14ac:dyDescent="0.25">
      <c r="A105" t="str">
        <f>HYPERLINK("./new_k5/query_cmdrels_weight_analyze/0.4_0.3_0.3/au_334081.xlsx","au_334081")</f>
        <v>au_334081</v>
      </c>
      <c r="B105">
        <v>1</v>
      </c>
      <c r="C105">
        <v>1</v>
      </c>
      <c r="D105">
        <v>1</v>
      </c>
      <c r="E105">
        <v>1</v>
      </c>
      <c r="F105">
        <v>1</v>
      </c>
      <c r="G105">
        <v>1</v>
      </c>
    </row>
    <row r="106" spans="1:7" x14ac:dyDescent="0.25">
      <c r="A106" t="str">
        <f>HYPERLINK("./new_k5/query_cmdrels_weight_analyze/0.4_0.3_0.3/au_34077.xlsx","au_34077")</f>
        <v>au_34077</v>
      </c>
      <c r="B106">
        <v>0</v>
      </c>
      <c r="C106">
        <v>1</v>
      </c>
      <c r="D106">
        <v>0</v>
      </c>
      <c r="E106">
        <v>1</v>
      </c>
      <c r="F106">
        <v>0.25</v>
      </c>
      <c r="G106">
        <v>1</v>
      </c>
    </row>
    <row r="107" spans="1:7" x14ac:dyDescent="0.25">
      <c r="A107" t="str">
        <f>HYPERLINK("./new_k5/query_cmdrels_weight_analyze/0.4_0.3_0.3/au_341428.xlsx","au_341428")</f>
        <v>au_341428</v>
      </c>
      <c r="B107">
        <v>1</v>
      </c>
      <c r="C107">
        <v>1</v>
      </c>
      <c r="D107">
        <v>1</v>
      </c>
      <c r="E107">
        <v>1</v>
      </c>
      <c r="F107">
        <v>1</v>
      </c>
      <c r="G107">
        <v>1</v>
      </c>
    </row>
    <row r="108" spans="1:7" x14ac:dyDescent="0.25">
      <c r="A108" t="str">
        <f>HYPERLINK("./new_k5/query_cmdrels_weight_analyze/0.4_0.3_0.3/au_341584.xlsx","au_341584")</f>
        <v>au_341584</v>
      </c>
      <c r="B108">
        <v>1</v>
      </c>
      <c r="C108">
        <v>0</v>
      </c>
      <c r="D108">
        <v>1</v>
      </c>
      <c r="E108">
        <v>0.5</v>
      </c>
      <c r="F108">
        <v>1</v>
      </c>
      <c r="G108">
        <v>0.5</v>
      </c>
    </row>
    <row r="109" spans="1:7" x14ac:dyDescent="0.25">
      <c r="A109" t="str">
        <f>HYPERLINK("./new_k5/query_cmdrels_weight_analyze/0.4_0.3_0.3/au_346864.xlsx","au_346864")</f>
        <v>au_346864</v>
      </c>
      <c r="B109">
        <v>0</v>
      </c>
      <c r="C109">
        <v>1</v>
      </c>
      <c r="D109">
        <v>0</v>
      </c>
      <c r="E109">
        <v>1</v>
      </c>
      <c r="F109">
        <v>0.25</v>
      </c>
      <c r="G109">
        <v>1</v>
      </c>
    </row>
    <row r="110" spans="1:7" x14ac:dyDescent="0.25">
      <c r="A110" t="str">
        <f>HYPERLINK("./new_k5/query_cmdrels_weight_analyze/0.4_0.3_0.3/au_351765.xlsx","au_351765")</f>
        <v>au_351765</v>
      </c>
      <c r="B110">
        <v>0</v>
      </c>
      <c r="C110">
        <v>1</v>
      </c>
      <c r="D110">
        <v>0</v>
      </c>
      <c r="E110">
        <v>1</v>
      </c>
      <c r="F110">
        <v>0</v>
      </c>
      <c r="G110">
        <v>1</v>
      </c>
    </row>
    <row r="111" spans="1:7" x14ac:dyDescent="0.25">
      <c r="A111" t="str">
        <f>HYPERLINK("./new_k5/query_cmdrels_weight_analyze/0.4_0.3_0.3/au_35922.xlsx","au_35922")</f>
        <v>au_35922</v>
      </c>
      <c r="B111">
        <v>0</v>
      </c>
      <c r="C111">
        <v>1</v>
      </c>
      <c r="D111">
        <v>0</v>
      </c>
      <c r="E111">
        <v>1</v>
      </c>
      <c r="F111">
        <v>0.25</v>
      </c>
      <c r="G111">
        <v>1</v>
      </c>
    </row>
    <row r="112" spans="1:7" x14ac:dyDescent="0.25">
      <c r="A112" t="str">
        <f>HYPERLINK("./new_k5/query_cmdrels_weight_analyze/0.4_0.3_0.3/au_359856.xlsx","au_359856")</f>
        <v>au_359856</v>
      </c>
      <c r="B112">
        <v>0</v>
      </c>
      <c r="C112">
        <v>1</v>
      </c>
      <c r="D112">
        <v>0</v>
      </c>
      <c r="E112">
        <v>1</v>
      </c>
      <c r="F112">
        <v>0</v>
      </c>
      <c r="G112">
        <v>1</v>
      </c>
    </row>
    <row r="113" spans="1:7" x14ac:dyDescent="0.25">
      <c r="A113" t="str">
        <f>HYPERLINK("./new_k5/query_cmdrels_weight_analyze/0.4_0.3_0.3/au_360423.xlsx","au_360423")</f>
        <v>au_360423</v>
      </c>
      <c r="B113">
        <v>0</v>
      </c>
      <c r="C113">
        <v>0</v>
      </c>
      <c r="D113">
        <v>0</v>
      </c>
      <c r="E113">
        <v>0.33333333333333331</v>
      </c>
      <c r="F113">
        <v>0</v>
      </c>
      <c r="G113">
        <v>0.33333333333333331</v>
      </c>
    </row>
    <row r="114" spans="1:7" x14ac:dyDescent="0.25">
      <c r="A114" t="str">
        <f>HYPERLINK("./new_k5/query_cmdrels_weight_analyze/0.4_0.3_0.3/au_36287.xlsx","au_36287")</f>
        <v>au_36287</v>
      </c>
      <c r="B114">
        <v>1</v>
      </c>
      <c r="C114">
        <v>1</v>
      </c>
      <c r="D114">
        <v>1</v>
      </c>
      <c r="E114">
        <v>1</v>
      </c>
      <c r="F114">
        <v>1</v>
      </c>
      <c r="G114">
        <v>1</v>
      </c>
    </row>
    <row r="115" spans="1:7" x14ac:dyDescent="0.25">
      <c r="A115" t="str">
        <f>HYPERLINK("./new_k5/query_cmdrels_weight_analyze/0.4_0.3_0.3/au_366742.xlsx","au_366742")</f>
        <v>au_366742</v>
      </c>
      <c r="B115">
        <v>0</v>
      </c>
      <c r="C115">
        <v>0</v>
      </c>
      <c r="D115">
        <v>0</v>
      </c>
      <c r="E115">
        <v>0.5</v>
      </c>
      <c r="F115">
        <v>0</v>
      </c>
      <c r="G115">
        <v>0.5</v>
      </c>
    </row>
    <row r="116" spans="1:7" x14ac:dyDescent="0.25">
      <c r="A116" t="str">
        <f>HYPERLINK("./new_k5/query_cmdrels_weight_analyze/0.4_0.3_0.3/au_377937.xlsx","au_377937")</f>
        <v>au_377937</v>
      </c>
      <c r="B116">
        <v>0</v>
      </c>
      <c r="C116">
        <v>1</v>
      </c>
      <c r="D116">
        <v>0.33333333333333298</v>
      </c>
      <c r="E116">
        <v>1</v>
      </c>
      <c r="F116">
        <v>0.33333333333333298</v>
      </c>
      <c r="G116">
        <v>1</v>
      </c>
    </row>
    <row r="117" spans="1:7" x14ac:dyDescent="0.25">
      <c r="A117" t="str">
        <f>HYPERLINK("./new_k5/query_cmdrels_weight_analyze/0.4_0.3_0.3/au_383997.xlsx","au_383997")</f>
        <v>au_383997</v>
      </c>
      <c r="B117">
        <v>0</v>
      </c>
      <c r="C117">
        <v>1</v>
      </c>
      <c r="D117">
        <v>0</v>
      </c>
      <c r="E117">
        <v>1</v>
      </c>
      <c r="F117">
        <v>0.25</v>
      </c>
      <c r="G117">
        <v>1</v>
      </c>
    </row>
    <row r="118" spans="1:7" x14ac:dyDescent="0.25">
      <c r="A118" t="str">
        <f>HYPERLINK("./new_k5/query_cmdrels_weight_analyze/0.4_0.3_0.3/au_3883.xlsx","au_3883")</f>
        <v>au_3883</v>
      </c>
      <c r="B118">
        <v>0</v>
      </c>
      <c r="C118">
        <v>1</v>
      </c>
      <c r="D118">
        <v>0</v>
      </c>
      <c r="E118">
        <v>1</v>
      </c>
      <c r="F118">
        <v>0</v>
      </c>
      <c r="G118">
        <v>1</v>
      </c>
    </row>
    <row r="119" spans="1:7" x14ac:dyDescent="0.25">
      <c r="A119" t="str">
        <f>HYPERLINK("./new_k5/query_cmdrels_weight_analyze/0.4_0.3_0.3/au_396883.xlsx","au_396883")</f>
        <v>au_396883</v>
      </c>
      <c r="B119">
        <v>1</v>
      </c>
      <c r="C119">
        <v>1</v>
      </c>
      <c r="D119">
        <v>1</v>
      </c>
      <c r="E119">
        <v>1</v>
      </c>
      <c r="F119">
        <v>1</v>
      </c>
      <c r="G119">
        <v>1</v>
      </c>
    </row>
    <row r="120" spans="1:7" x14ac:dyDescent="0.25">
      <c r="A120" t="str">
        <f>HYPERLINK("./new_k5/query_cmdrels_weight_analyze/0.4_0.3_0.3/au_39760.xlsx","au_39760")</f>
        <v>au_39760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</row>
    <row r="121" spans="1:7" x14ac:dyDescent="0.25">
      <c r="A121" t="str">
        <f>HYPERLINK("./new_k5/query_cmdrels_weight_analyze/0.4_0.3_0.3/au_398818.xlsx","au_398818")</f>
        <v>au_398818</v>
      </c>
      <c r="B121">
        <v>0</v>
      </c>
      <c r="C121">
        <v>1</v>
      </c>
      <c r="D121">
        <v>0</v>
      </c>
      <c r="E121">
        <v>1</v>
      </c>
      <c r="F121">
        <v>0.2</v>
      </c>
      <c r="G121">
        <v>1</v>
      </c>
    </row>
    <row r="122" spans="1:7" x14ac:dyDescent="0.25">
      <c r="A122" t="str">
        <f>HYPERLINK("./new_k5/query_cmdrels_weight_analyze/0.4_0.3_0.3/au_400807.xlsx","au_400807")</f>
        <v>au_400807</v>
      </c>
      <c r="B122">
        <v>1</v>
      </c>
      <c r="C122">
        <v>1</v>
      </c>
      <c r="D122">
        <v>1</v>
      </c>
      <c r="E122">
        <v>1</v>
      </c>
      <c r="F122">
        <v>1</v>
      </c>
      <c r="G122">
        <v>1</v>
      </c>
    </row>
    <row r="123" spans="1:7" x14ac:dyDescent="0.25">
      <c r="A123" t="str">
        <f>HYPERLINK("./new_k5/query_cmdrels_weight_analyze/0.4_0.3_0.3/au_408611.xlsx","au_408611")</f>
        <v>au_408611</v>
      </c>
      <c r="B123">
        <v>0</v>
      </c>
      <c r="C123">
        <v>1</v>
      </c>
      <c r="D123">
        <v>0</v>
      </c>
      <c r="E123">
        <v>1</v>
      </c>
      <c r="F123">
        <v>0.2</v>
      </c>
      <c r="G123">
        <v>1</v>
      </c>
    </row>
    <row r="124" spans="1:7" x14ac:dyDescent="0.25">
      <c r="A124" t="str">
        <f>HYPERLINK("./new_k5/query_cmdrels_weight_analyze/0.4_0.3_0.3/au_414737.xlsx","au_414737")</f>
        <v>au_414737</v>
      </c>
      <c r="B124">
        <v>0</v>
      </c>
      <c r="C124">
        <v>0</v>
      </c>
      <c r="D124">
        <v>0.33333333333333298</v>
      </c>
      <c r="E124">
        <v>0.5</v>
      </c>
      <c r="F124">
        <v>0.33333333333333298</v>
      </c>
      <c r="G124">
        <v>0.5</v>
      </c>
    </row>
    <row r="125" spans="1:7" x14ac:dyDescent="0.25">
      <c r="A125" t="str">
        <f>HYPERLINK("./new_k5/query_cmdrels_weight_analyze/0.4_0.3_0.3/au_420722.xlsx","au_420722")</f>
        <v>au_420722</v>
      </c>
      <c r="B125">
        <v>1</v>
      </c>
      <c r="C125">
        <v>1</v>
      </c>
      <c r="D125">
        <v>1</v>
      </c>
      <c r="E125">
        <v>1</v>
      </c>
      <c r="F125">
        <v>1</v>
      </c>
      <c r="G125">
        <v>1</v>
      </c>
    </row>
    <row r="126" spans="1:7" x14ac:dyDescent="0.25">
      <c r="A126" t="str">
        <f>HYPERLINK("./new_k5/query_cmdrels_weight_analyze/0.4_0.3_0.3/au_423942.xlsx","au_423942")</f>
        <v>au_423942</v>
      </c>
      <c r="B126">
        <v>0</v>
      </c>
      <c r="C126">
        <v>1</v>
      </c>
      <c r="D126">
        <v>0.5</v>
      </c>
      <c r="E126">
        <v>1</v>
      </c>
      <c r="F126">
        <v>0.5</v>
      </c>
      <c r="G126">
        <v>1</v>
      </c>
    </row>
    <row r="127" spans="1:7" x14ac:dyDescent="0.25">
      <c r="A127" t="str">
        <f>HYPERLINK("./new_k5/query_cmdrels_weight_analyze/0.4_0.3_0.3/au_430382.xlsx","au_430382")</f>
        <v>au_430382</v>
      </c>
      <c r="B127">
        <v>0</v>
      </c>
      <c r="C127">
        <v>1</v>
      </c>
      <c r="D127">
        <v>0</v>
      </c>
      <c r="E127">
        <v>1</v>
      </c>
      <c r="F127">
        <v>0</v>
      </c>
      <c r="G127">
        <v>1</v>
      </c>
    </row>
    <row r="128" spans="1:7" x14ac:dyDescent="0.25">
      <c r="A128" t="str">
        <f>HYPERLINK("./new_k5/query_cmdrels_weight_analyze/0.4_0.3_0.3/au_432836.xlsx","au_432836")</f>
        <v>au_432836</v>
      </c>
      <c r="B128">
        <v>1</v>
      </c>
      <c r="C128">
        <v>1</v>
      </c>
      <c r="D128">
        <v>1</v>
      </c>
      <c r="E128">
        <v>1</v>
      </c>
      <c r="F128">
        <v>1</v>
      </c>
      <c r="G128">
        <v>1</v>
      </c>
    </row>
    <row r="129" spans="1:7" x14ac:dyDescent="0.25">
      <c r="A129" t="str">
        <f>HYPERLINK("./new_k5/query_cmdrels_weight_analyze/0.4_0.3_0.3/au_440326.xlsx","au_440326")</f>
        <v>au_440326</v>
      </c>
      <c r="B129">
        <v>0</v>
      </c>
      <c r="C129">
        <v>0</v>
      </c>
      <c r="D129">
        <v>0.33333333333333298</v>
      </c>
      <c r="E129">
        <v>0.5</v>
      </c>
      <c r="F129">
        <v>0.33333333333333298</v>
      </c>
      <c r="G129">
        <v>0.5</v>
      </c>
    </row>
    <row r="130" spans="1:7" x14ac:dyDescent="0.25">
      <c r="A130" t="str">
        <f>HYPERLINK("./new_k5/query_cmdrels_weight_analyze/0.4_0.3_0.3/au_442914.xlsx","au_442914")</f>
        <v>au_442914</v>
      </c>
      <c r="B130">
        <v>0</v>
      </c>
      <c r="C130">
        <v>0</v>
      </c>
      <c r="D130">
        <v>0.33333333333333298</v>
      </c>
      <c r="E130">
        <v>0.33333333333333331</v>
      </c>
      <c r="F130">
        <v>0.33333333333333298</v>
      </c>
      <c r="G130">
        <v>0.33333333333333331</v>
      </c>
    </row>
    <row r="131" spans="1:7" x14ac:dyDescent="0.25">
      <c r="A131" t="str">
        <f>HYPERLINK("./new_k5/query_cmdrels_weight_analyze/0.4_0.3_0.3/au_443227.xlsx","au_443227")</f>
        <v>au_443227</v>
      </c>
      <c r="B131">
        <v>0</v>
      </c>
      <c r="C131">
        <v>0</v>
      </c>
      <c r="D131">
        <v>0.5</v>
      </c>
      <c r="E131">
        <v>0.33333333333333331</v>
      </c>
      <c r="F131">
        <v>0.5</v>
      </c>
      <c r="G131">
        <v>0.33333333333333331</v>
      </c>
    </row>
    <row r="132" spans="1:7" x14ac:dyDescent="0.25">
      <c r="A132" t="str">
        <f>HYPERLINK("./new_k5/query_cmdrels_weight_analyze/0.4_0.3_0.3/au_44534.xlsx","au_44534")</f>
        <v>au_44534</v>
      </c>
      <c r="B132">
        <v>1</v>
      </c>
      <c r="C132">
        <v>0</v>
      </c>
      <c r="D132">
        <v>1</v>
      </c>
      <c r="E132">
        <v>0.33333333333333331</v>
      </c>
      <c r="F132">
        <v>1</v>
      </c>
      <c r="G132">
        <v>0.33333333333333331</v>
      </c>
    </row>
    <row r="133" spans="1:7" x14ac:dyDescent="0.25">
      <c r="A133" t="str">
        <f>HYPERLINK("./new_k5/query_cmdrels_weight_analyze/0.4_0.3_0.3/au_451805.xlsx","au_451805")</f>
        <v>au_451805</v>
      </c>
      <c r="B133">
        <v>0</v>
      </c>
      <c r="C133">
        <v>0</v>
      </c>
      <c r="D133">
        <v>0</v>
      </c>
      <c r="E133">
        <v>0.5</v>
      </c>
      <c r="F133">
        <v>0</v>
      </c>
      <c r="G133">
        <v>0.5</v>
      </c>
    </row>
    <row r="134" spans="1:7" x14ac:dyDescent="0.25">
      <c r="A134" t="str">
        <f>HYPERLINK("./new_k5/query_cmdrels_weight_analyze/0.4_0.3_0.3/au_464264.xlsx","au_464264")</f>
        <v>au_464264</v>
      </c>
      <c r="B134">
        <v>0</v>
      </c>
      <c r="C134">
        <v>0</v>
      </c>
      <c r="D134">
        <v>0.5</v>
      </c>
      <c r="E134">
        <v>0.33333333333333331</v>
      </c>
      <c r="F134">
        <v>0.5</v>
      </c>
      <c r="G134">
        <v>0.33333333333333331</v>
      </c>
    </row>
    <row r="135" spans="1:7" x14ac:dyDescent="0.25">
      <c r="A135" t="str">
        <f>HYPERLINK("./new_k5/query_cmdrels_weight_analyze/0.4_0.3_0.3/au_468808.xlsx","au_468808")</f>
        <v>au_468808</v>
      </c>
      <c r="B135">
        <v>0</v>
      </c>
      <c r="C135">
        <v>0</v>
      </c>
      <c r="D135">
        <v>0.33333333333333298</v>
      </c>
      <c r="E135">
        <v>0.5</v>
      </c>
      <c r="F135">
        <v>0.33333333333333298</v>
      </c>
      <c r="G135">
        <v>0.5</v>
      </c>
    </row>
    <row r="136" spans="1:7" x14ac:dyDescent="0.25">
      <c r="A136" t="str">
        <f>HYPERLINK("./new_k5/query_cmdrels_weight_analyze/0.4_0.3_0.3/au_469143.xlsx","au_469143")</f>
        <v>au_469143</v>
      </c>
      <c r="B136">
        <v>0</v>
      </c>
      <c r="C136">
        <v>1</v>
      </c>
      <c r="D136">
        <v>0</v>
      </c>
      <c r="E136">
        <v>1</v>
      </c>
      <c r="F136">
        <v>0</v>
      </c>
      <c r="G136">
        <v>1</v>
      </c>
    </row>
    <row r="137" spans="1:7" x14ac:dyDescent="0.25">
      <c r="A137" t="str">
        <f>HYPERLINK("./new_k5/query_cmdrels_weight_analyze/0.4_0.3_0.3/au_470237.xlsx","au_470237")</f>
        <v>au_470237</v>
      </c>
      <c r="B137">
        <v>0</v>
      </c>
      <c r="C137">
        <v>1</v>
      </c>
      <c r="D137">
        <v>0.5</v>
      </c>
      <c r="E137">
        <v>1</v>
      </c>
      <c r="F137">
        <v>0.5</v>
      </c>
      <c r="G137">
        <v>1</v>
      </c>
    </row>
    <row r="138" spans="1:7" x14ac:dyDescent="0.25">
      <c r="A138" t="str">
        <f>HYPERLINK("./new_k5/query_cmdrels_weight_analyze/0.4_0.3_0.3/au_473037.xlsx","au_473037")</f>
        <v>au_473037</v>
      </c>
      <c r="B138">
        <v>0</v>
      </c>
      <c r="C138">
        <v>0</v>
      </c>
      <c r="D138">
        <v>0</v>
      </c>
      <c r="E138">
        <v>0</v>
      </c>
      <c r="F138">
        <v>0.2</v>
      </c>
      <c r="G138">
        <v>0.25</v>
      </c>
    </row>
    <row r="139" spans="1:7" x14ac:dyDescent="0.25">
      <c r="A139" t="str">
        <f>HYPERLINK("./new_k5/query_cmdrels_weight_analyze/0.4_0.3_0.3/au_48362.xlsx","au_48362")</f>
        <v>au_48362</v>
      </c>
      <c r="B139">
        <v>0</v>
      </c>
      <c r="C139">
        <v>1</v>
      </c>
      <c r="D139">
        <v>0</v>
      </c>
      <c r="E139">
        <v>1</v>
      </c>
      <c r="F139">
        <v>0</v>
      </c>
      <c r="G139">
        <v>1</v>
      </c>
    </row>
    <row r="140" spans="1:7" x14ac:dyDescent="0.25">
      <c r="A140" t="str">
        <f>HYPERLINK("./new_k5/query_cmdrels_weight_analyze/0.4_0.3_0.3/au_488435.xlsx","au_488435")</f>
        <v>au_488435</v>
      </c>
      <c r="B140">
        <v>0</v>
      </c>
      <c r="C140">
        <v>0</v>
      </c>
      <c r="D140">
        <v>0</v>
      </c>
      <c r="E140">
        <v>0.5</v>
      </c>
      <c r="F140">
        <v>0</v>
      </c>
      <c r="G140">
        <v>0.5</v>
      </c>
    </row>
    <row r="141" spans="1:7" x14ac:dyDescent="0.25">
      <c r="A141" t="str">
        <f>HYPERLINK("./new_k5/query_cmdrels_weight_analyze/0.4_0.3_0.3/au_493826.xlsx","au_493826")</f>
        <v>au_493826</v>
      </c>
      <c r="B141">
        <v>0</v>
      </c>
      <c r="C141">
        <v>1</v>
      </c>
      <c r="D141">
        <v>0</v>
      </c>
      <c r="E141">
        <v>1</v>
      </c>
      <c r="F141">
        <v>0.25</v>
      </c>
      <c r="G141">
        <v>1</v>
      </c>
    </row>
    <row r="142" spans="1:7" x14ac:dyDescent="0.25">
      <c r="A142" t="str">
        <f>HYPERLINK("./new_k5/query_cmdrels_weight_analyze/0.4_0.3_0.3/au_502110.xlsx","au_502110")</f>
        <v>au_502110</v>
      </c>
      <c r="B142">
        <v>1</v>
      </c>
      <c r="C142">
        <v>0</v>
      </c>
      <c r="D142">
        <v>1</v>
      </c>
      <c r="E142">
        <v>0.5</v>
      </c>
      <c r="F142">
        <v>1</v>
      </c>
      <c r="G142">
        <v>0.5</v>
      </c>
    </row>
    <row r="143" spans="1:7" x14ac:dyDescent="0.25">
      <c r="A143" t="str">
        <f>HYPERLINK("./new_k5/query_cmdrels_weight_analyze/0.4_0.3_0.3/au_50344.xlsx","au_50344")</f>
        <v>au_50344</v>
      </c>
      <c r="B143">
        <v>0</v>
      </c>
      <c r="C143">
        <v>1</v>
      </c>
      <c r="D143">
        <v>0</v>
      </c>
      <c r="E143">
        <v>1</v>
      </c>
      <c r="F143">
        <v>0</v>
      </c>
      <c r="G143">
        <v>1</v>
      </c>
    </row>
    <row r="144" spans="1:7" x14ac:dyDescent="0.25">
      <c r="A144" t="str">
        <f>HYPERLINK("./new_k5/query_cmdrels_weight_analyze/0.4_0.3_0.3/au_511467.xlsx","au_511467")</f>
        <v>au_511467</v>
      </c>
      <c r="B144">
        <v>0</v>
      </c>
      <c r="C144">
        <v>1</v>
      </c>
      <c r="D144">
        <v>0</v>
      </c>
      <c r="E144">
        <v>1</v>
      </c>
      <c r="F144">
        <v>0.25</v>
      </c>
      <c r="G144">
        <v>1</v>
      </c>
    </row>
    <row r="145" spans="1:7" x14ac:dyDescent="0.25">
      <c r="A145" t="str">
        <f>HYPERLINK("./new_k5/query_cmdrels_weight_analyze/0.4_0.3_0.3/au_513046.xlsx","au_513046")</f>
        <v>au_513046</v>
      </c>
      <c r="B145">
        <v>1</v>
      </c>
      <c r="C145">
        <v>0</v>
      </c>
      <c r="D145">
        <v>1</v>
      </c>
      <c r="E145">
        <v>0.33333333333333331</v>
      </c>
      <c r="F145">
        <v>1</v>
      </c>
      <c r="G145">
        <v>0.33333333333333331</v>
      </c>
    </row>
    <row r="146" spans="1:7" x14ac:dyDescent="0.25">
      <c r="A146" t="str">
        <f>HYPERLINK("./new_k5/query_cmdrels_weight_analyze/0.4_0.3_0.3/au_517354.xlsx","au_517354")</f>
        <v>au_517354</v>
      </c>
      <c r="B146">
        <v>0</v>
      </c>
      <c r="C146">
        <v>1</v>
      </c>
      <c r="D146">
        <v>0</v>
      </c>
      <c r="E146">
        <v>1</v>
      </c>
      <c r="F146">
        <v>0.25</v>
      </c>
      <c r="G146">
        <v>1</v>
      </c>
    </row>
    <row r="147" spans="1:7" x14ac:dyDescent="0.25">
      <c r="A147" t="str">
        <f>HYPERLINK("./new_k5/query_cmdrels_weight_analyze/0.4_0.3_0.3/au_522431.xlsx","au_522431")</f>
        <v>au_522431</v>
      </c>
      <c r="B147">
        <v>0</v>
      </c>
      <c r="C147">
        <v>0</v>
      </c>
      <c r="D147">
        <v>0.5</v>
      </c>
      <c r="E147">
        <v>0.5</v>
      </c>
      <c r="F147">
        <v>0.5</v>
      </c>
      <c r="G147">
        <v>0.5</v>
      </c>
    </row>
    <row r="148" spans="1:7" x14ac:dyDescent="0.25">
      <c r="A148" t="str">
        <f>HYPERLINK("./new_k5/query_cmdrels_weight_analyze/0.4_0.3_0.3/au_52773.xlsx","au_52773")</f>
        <v>au_52773</v>
      </c>
      <c r="B148">
        <v>0</v>
      </c>
      <c r="C148">
        <v>0</v>
      </c>
      <c r="D148">
        <v>0</v>
      </c>
      <c r="E148">
        <v>0</v>
      </c>
      <c r="F148">
        <v>0.25</v>
      </c>
      <c r="G148">
        <v>0.25</v>
      </c>
    </row>
    <row r="149" spans="1:7" x14ac:dyDescent="0.25">
      <c r="A149" t="str">
        <f>HYPERLINK("./new_k5/query_cmdrels_weight_analyze/0.4_0.3_0.3/au_528411.xlsx","au_528411")</f>
        <v>au_528411</v>
      </c>
      <c r="B149">
        <v>0</v>
      </c>
      <c r="C149">
        <v>0</v>
      </c>
      <c r="D149">
        <v>0.5</v>
      </c>
      <c r="E149">
        <v>0.5</v>
      </c>
      <c r="F149">
        <v>0.5</v>
      </c>
      <c r="G149">
        <v>0.5</v>
      </c>
    </row>
    <row r="150" spans="1:7" x14ac:dyDescent="0.25">
      <c r="A150" t="str">
        <f>HYPERLINK("./new_k5/query_cmdrels_weight_analyze/0.4_0.3_0.3/au_53263.xlsx","au_53263")</f>
        <v>au_53263</v>
      </c>
      <c r="B150">
        <v>0</v>
      </c>
      <c r="C150">
        <v>1</v>
      </c>
      <c r="D150">
        <v>0.5</v>
      </c>
      <c r="E150">
        <v>1</v>
      </c>
      <c r="F150">
        <v>0.5</v>
      </c>
      <c r="G150">
        <v>1</v>
      </c>
    </row>
    <row r="151" spans="1:7" x14ac:dyDescent="0.25">
      <c r="A151" t="str">
        <f>HYPERLINK("./new_k5/query_cmdrels_weight_analyze/0.4_0.3_0.3/au_53444.xlsx","au_53444")</f>
        <v>au_53444</v>
      </c>
      <c r="B151">
        <v>1</v>
      </c>
      <c r="C151">
        <v>0</v>
      </c>
      <c r="D151">
        <v>1</v>
      </c>
      <c r="E151">
        <v>0.33333333333333331</v>
      </c>
      <c r="F151">
        <v>1</v>
      </c>
      <c r="G151">
        <v>0.33333333333333331</v>
      </c>
    </row>
    <row r="152" spans="1:7" x14ac:dyDescent="0.25">
      <c r="A152" t="str">
        <f>HYPERLINK("./new_k5/query_cmdrels_weight_analyze/0.4_0.3_0.3/au_538208.xlsx","au_538208")</f>
        <v>au_538208</v>
      </c>
      <c r="B152">
        <v>0</v>
      </c>
      <c r="C152">
        <v>1</v>
      </c>
      <c r="D152">
        <v>0</v>
      </c>
      <c r="E152">
        <v>1</v>
      </c>
      <c r="F152">
        <v>0</v>
      </c>
      <c r="G152">
        <v>1</v>
      </c>
    </row>
    <row r="153" spans="1:7" x14ac:dyDescent="0.25">
      <c r="A153" t="str">
        <f>HYPERLINK("./new_k5/query_cmdrels_weight_analyze/0.4_0.3_0.3/au_53822.xlsx","au_53822")</f>
        <v>au_53822</v>
      </c>
      <c r="B153">
        <v>0</v>
      </c>
      <c r="C153">
        <v>1</v>
      </c>
      <c r="D153">
        <v>0</v>
      </c>
      <c r="E153">
        <v>1</v>
      </c>
      <c r="F153">
        <v>0</v>
      </c>
      <c r="G153">
        <v>1</v>
      </c>
    </row>
    <row r="154" spans="1:7" x14ac:dyDescent="0.25">
      <c r="A154" t="str">
        <f>HYPERLINK("./new_k5/query_cmdrels_weight_analyze/0.4_0.3_0.3/au_539243.xlsx","au_539243")</f>
        <v>au_539243</v>
      </c>
      <c r="B154">
        <v>1</v>
      </c>
      <c r="C154">
        <v>0</v>
      </c>
      <c r="D154">
        <v>1</v>
      </c>
      <c r="E154">
        <v>0.5</v>
      </c>
      <c r="F154">
        <v>1</v>
      </c>
      <c r="G154">
        <v>0.5</v>
      </c>
    </row>
    <row r="155" spans="1:7" x14ac:dyDescent="0.25">
      <c r="A155" t="str">
        <f>HYPERLINK("./new_k5/query_cmdrels_weight_analyze/0.4_0.3_0.3/au_558280.xlsx","au_558280")</f>
        <v>au_558280</v>
      </c>
      <c r="B155">
        <v>0</v>
      </c>
      <c r="C155">
        <v>0</v>
      </c>
      <c r="D155">
        <v>0</v>
      </c>
      <c r="E155">
        <v>0.5</v>
      </c>
      <c r="F155">
        <v>0.2</v>
      </c>
      <c r="G155">
        <v>0.5</v>
      </c>
    </row>
    <row r="156" spans="1:7" x14ac:dyDescent="0.25">
      <c r="A156" t="str">
        <f>HYPERLINK("./new_k5/query_cmdrels_weight_analyze/0.4_0.3_0.3/au_558669.xlsx","au_558669")</f>
        <v>au_558669</v>
      </c>
      <c r="B156">
        <v>0</v>
      </c>
      <c r="C156">
        <v>1</v>
      </c>
      <c r="D156">
        <v>0</v>
      </c>
      <c r="E156">
        <v>1</v>
      </c>
      <c r="F156">
        <v>0</v>
      </c>
      <c r="G156">
        <v>1</v>
      </c>
    </row>
    <row r="157" spans="1:7" x14ac:dyDescent="0.25">
      <c r="A157" t="str">
        <f>HYPERLINK("./new_k5/query_cmdrels_weight_analyze/0.4_0.3_0.3/au_55868.xlsx","au_55868")</f>
        <v>au_55868</v>
      </c>
      <c r="B157">
        <v>0</v>
      </c>
      <c r="C157">
        <v>0</v>
      </c>
      <c r="D157">
        <v>0</v>
      </c>
      <c r="E157">
        <v>0.5</v>
      </c>
      <c r="F157">
        <v>0</v>
      </c>
      <c r="G157">
        <v>0.5</v>
      </c>
    </row>
    <row r="158" spans="1:7" x14ac:dyDescent="0.25">
      <c r="A158" t="str">
        <f>HYPERLINK("./new_k5/query_cmdrels_weight_analyze/0.4_0.3_0.3/au_561.xlsx","au_561")</f>
        <v>au_561</v>
      </c>
      <c r="B158">
        <v>0</v>
      </c>
      <c r="C158">
        <v>1</v>
      </c>
      <c r="D158">
        <v>0.5</v>
      </c>
      <c r="E158">
        <v>1</v>
      </c>
      <c r="F158">
        <v>0.5</v>
      </c>
      <c r="G158">
        <v>1</v>
      </c>
    </row>
    <row r="159" spans="1:7" x14ac:dyDescent="0.25">
      <c r="A159" t="str">
        <f>HYPERLINK("./new_k5/query_cmdrels_weight_analyze/0.4_0.3_0.3/au_564567.xlsx","au_564567")</f>
        <v>au_564567</v>
      </c>
      <c r="B159">
        <v>1</v>
      </c>
      <c r="C159">
        <v>1</v>
      </c>
      <c r="D159">
        <v>1</v>
      </c>
      <c r="E159">
        <v>1</v>
      </c>
      <c r="F159">
        <v>1</v>
      </c>
      <c r="G159">
        <v>1</v>
      </c>
    </row>
    <row r="160" spans="1:7" x14ac:dyDescent="0.25">
      <c r="A160" t="str">
        <f>HYPERLINK("./new_k5/query_cmdrels_weight_analyze/0.4_0.3_0.3/au_57994.xlsx","au_57994")</f>
        <v>au_57994</v>
      </c>
      <c r="B160">
        <v>0</v>
      </c>
      <c r="C160">
        <v>1</v>
      </c>
      <c r="D160">
        <v>0.5</v>
      </c>
      <c r="E160">
        <v>1</v>
      </c>
      <c r="F160">
        <v>0.5</v>
      </c>
      <c r="G160">
        <v>1</v>
      </c>
    </row>
    <row r="161" spans="1:7" x14ac:dyDescent="0.25">
      <c r="A161" t="str">
        <f>HYPERLINK("./new_k5/query_cmdrels_weight_analyze/0.4_0.3_0.3/au_589210.xlsx","au_589210")</f>
        <v>au_589210</v>
      </c>
      <c r="B161">
        <v>1</v>
      </c>
      <c r="C161">
        <v>1</v>
      </c>
      <c r="D161">
        <v>1</v>
      </c>
      <c r="E161">
        <v>1</v>
      </c>
      <c r="F161">
        <v>1</v>
      </c>
      <c r="G161">
        <v>1</v>
      </c>
    </row>
    <row r="162" spans="1:7" x14ac:dyDescent="0.25">
      <c r="A162" t="str">
        <f>HYPERLINK("./new_k5/query_cmdrels_weight_analyze/0.4_0.3_0.3/au_5911.xlsx","au_5911")</f>
        <v>au_5911</v>
      </c>
      <c r="B162">
        <v>0</v>
      </c>
      <c r="C162">
        <v>1</v>
      </c>
      <c r="D162">
        <v>0</v>
      </c>
      <c r="E162">
        <v>1</v>
      </c>
      <c r="F162">
        <v>0</v>
      </c>
      <c r="G162">
        <v>1</v>
      </c>
    </row>
    <row r="163" spans="1:7" x14ac:dyDescent="0.25">
      <c r="A163" t="str">
        <f>HYPERLINK("./new_k5/query_cmdrels_weight_analyze/0.4_0.3_0.3/au_59356.xlsx","au_59356")</f>
        <v>au_59356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</row>
    <row r="164" spans="1:7" x14ac:dyDescent="0.25">
      <c r="A164" t="str">
        <f>HYPERLINK("./new_k5/query_cmdrels_weight_analyze/0.4_0.3_0.3/au_609850.xlsx","au_609850")</f>
        <v>au_609850</v>
      </c>
      <c r="B164">
        <v>0</v>
      </c>
      <c r="C164">
        <v>0</v>
      </c>
      <c r="D164">
        <v>0</v>
      </c>
      <c r="E164">
        <v>0.5</v>
      </c>
      <c r="F164">
        <v>0</v>
      </c>
      <c r="G164">
        <v>0.5</v>
      </c>
    </row>
    <row r="165" spans="1:7" x14ac:dyDescent="0.25">
      <c r="A165" t="str">
        <f>HYPERLINK("./new_k5/query_cmdrels_weight_analyze/0.4_0.3_0.3/au_61408.xlsx","au_61408")</f>
        <v>au_61408</v>
      </c>
      <c r="B165">
        <v>1</v>
      </c>
      <c r="C165">
        <v>1</v>
      </c>
      <c r="D165">
        <v>1</v>
      </c>
      <c r="E165">
        <v>1</v>
      </c>
      <c r="F165">
        <v>1</v>
      </c>
      <c r="G165">
        <v>1</v>
      </c>
    </row>
    <row r="166" spans="1:7" x14ac:dyDescent="0.25">
      <c r="A166" t="str">
        <f>HYPERLINK("./new_k5/query_cmdrels_weight_analyze/0.4_0.3_0.3/au_617850.xlsx","au_617850")</f>
        <v>au_617850</v>
      </c>
      <c r="B166">
        <v>1</v>
      </c>
      <c r="C166">
        <v>1</v>
      </c>
      <c r="D166">
        <v>1</v>
      </c>
      <c r="E166">
        <v>1</v>
      </c>
      <c r="F166">
        <v>1</v>
      </c>
      <c r="G166">
        <v>1</v>
      </c>
    </row>
    <row r="167" spans="1:7" x14ac:dyDescent="0.25">
      <c r="A167" t="str">
        <f>HYPERLINK("./new_k5/query_cmdrels_weight_analyze/0.4_0.3_0.3/au_62073.xlsx","au_62073")</f>
        <v>au_62073</v>
      </c>
      <c r="B167">
        <v>0</v>
      </c>
      <c r="C167">
        <v>1</v>
      </c>
      <c r="D167">
        <v>0</v>
      </c>
      <c r="E167">
        <v>1</v>
      </c>
      <c r="F167">
        <v>0</v>
      </c>
      <c r="G167">
        <v>1</v>
      </c>
    </row>
    <row r="168" spans="1:7" x14ac:dyDescent="0.25">
      <c r="A168" t="str">
        <f>HYPERLINK("./new_k5/query_cmdrels_weight_analyze/0.4_0.3_0.3/au_620930.xlsx","au_620930")</f>
        <v>au_620930</v>
      </c>
      <c r="B168">
        <v>1</v>
      </c>
      <c r="C168">
        <v>1</v>
      </c>
      <c r="D168">
        <v>1</v>
      </c>
      <c r="E168">
        <v>1</v>
      </c>
      <c r="F168">
        <v>1</v>
      </c>
      <c r="G168">
        <v>1</v>
      </c>
    </row>
    <row r="169" spans="1:7" x14ac:dyDescent="0.25">
      <c r="A169" t="str">
        <f>HYPERLINK("./new_k5/query_cmdrels_weight_analyze/0.4_0.3_0.3/au_62492.xlsx","au_62492")</f>
        <v>au_62492</v>
      </c>
      <c r="B169">
        <v>1</v>
      </c>
      <c r="C169">
        <v>1</v>
      </c>
      <c r="D169">
        <v>1</v>
      </c>
      <c r="E169">
        <v>1</v>
      </c>
      <c r="F169">
        <v>1</v>
      </c>
      <c r="G169">
        <v>1</v>
      </c>
    </row>
    <row r="170" spans="1:7" x14ac:dyDescent="0.25">
      <c r="A170" t="str">
        <f>HYPERLINK("./new_k5/query_cmdrels_weight_analyze/0.4_0.3_0.3/au_626078.xlsx","au_626078")</f>
        <v>au_626078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</row>
    <row r="171" spans="1:7" x14ac:dyDescent="0.25">
      <c r="A171" t="str">
        <f>HYPERLINK("./new_k5/query_cmdrels_weight_analyze/0.4_0.3_0.3/au_636944.xlsx","au_636944")</f>
        <v>au_636944</v>
      </c>
      <c r="B171">
        <v>0</v>
      </c>
      <c r="C171">
        <v>0</v>
      </c>
      <c r="D171">
        <v>0</v>
      </c>
      <c r="E171">
        <v>0.5</v>
      </c>
      <c r="F171">
        <v>0</v>
      </c>
      <c r="G171">
        <v>0.5</v>
      </c>
    </row>
    <row r="172" spans="1:7" x14ac:dyDescent="0.25">
      <c r="A172" t="str">
        <f>HYPERLINK("./new_k5/query_cmdrels_weight_analyze/0.4_0.3_0.3/au_648603.xlsx","au_648603")</f>
        <v>au_648603</v>
      </c>
      <c r="B172">
        <v>1</v>
      </c>
      <c r="C172">
        <v>1</v>
      </c>
      <c r="D172">
        <v>1</v>
      </c>
      <c r="E172">
        <v>1</v>
      </c>
      <c r="F172">
        <v>1</v>
      </c>
      <c r="G172">
        <v>1</v>
      </c>
    </row>
    <row r="173" spans="1:7" x14ac:dyDescent="0.25">
      <c r="A173" t="str">
        <f>HYPERLINK("./new_k5/query_cmdrels_weight_analyze/0.4_0.3_0.3/au_65331.xlsx","au_65331")</f>
        <v>au_65331</v>
      </c>
      <c r="B173">
        <v>1</v>
      </c>
      <c r="C173">
        <v>1</v>
      </c>
      <c r="D173">
        <v>1</v>
      </c>
      <c r="E173">
        <v>1</v>
      </c>
      <c r="F173">
        <v>1</v>
      </c>
      <c r="G173">
        <v>1</v>
      </c>
    </row>
    <row r="174" spans="1:7" x14ac:dyDescent="0.25">
      <c r="A174" t="str">
        <f>HYPERLINK("./new_k5/query_cmdrels_weight_analyze/0.4_0.3_0.3/au_66000.xlsx","au_66000")</f>
        <v>au_66000</v>
      </c>
      <c r="B174">
        <v>0</v>
      </c>
      <c r="C174">
        <v>1</v>
      </c>
      <c r="D174">
        <v>0</v>
      </c>
      <c r="E174">
        <v>1</v>
      </c>
      <c r="F174">
        <v>0</v>
      </c>
      <c r="G174">
        <v>1</v>
      </c>
    </row>
    <row r="175" spans="1:7" x14ac:dyDescent="0.25">
      <c r="A175" t="str">
        <f>HYPERLINK("./new_k5/query_cmdrels_weight_analyze/0.4_0.3_0.3/au_660846.xlsx","au_660846")</f>
        <v>au_660846</v>
      </c>
      <c r="B175">
        <v>1</v>
      </c>
      <c r="C175">
        <v>1</v>
      </c>
      <c r="D175">
        <v>1</v>
      </c>
      <c r="E175">
        <v>1</v>
      </c>
      <c r="F175">
        <v>1</v>
      </c>
      <c r="G175">
        <v>1</v>
      </c>
    </row>
    <row r="176" spans="1:7" x14ac:dyDescent="0.25">
      <c r="A176" t="str">
        <f>HYPERLINK("./new_k5/query_cmdrels_weight_analyze/0.4_0.3_0.3/au_662935.xlsx","au_662935")</f>
        <v>au_662935</v>
      </c>
      <c r="B176">
        <v>0</v>
      </c>
      <c r="C176">
        <v>1</v>
      </c>
      <c r="D176">
        <v>0.33333333333333298</v>
      </c>
      <c r="E176">
        <v>1</v>
      </c>
      <c r="F176">
        <v>0.33333333333333298</v>
      </c>
      <c r="G176">
        <v>1</v>
      </c>
    </row>
    <row r="177" spans="1:7" x14ac:dyDescent="0.25">
      <c r="A177" t="str">
        <f>HYPERLINK("./new_k5/query_cmdrels_weight_analyze/0.4_0.3_0.3/au_67663.xlsx","au_67663")</f>
        <v>au_67663</v>
      </c>
      <c r="B177">
        <v>0</v>
      </c>
      <c r="C177">
        <v>1</v>
      </c>
      <c r="D177">
        <v>0</v>
      </c>
      <c r="E177">
        <v>1</v>
      </c>
      <c r="F177">
        <v>0</v>
      </c>
      <c r="G177">
        <v>1</v>
      </c>
    </row>
    <row r="178" spans="1:7" x14ac:dyDescent="0.25">
      <c r="A178" t="str">
        <f>HYPERLINK("./new_k5/query_cmdrels_weight_analyze/0.4_0.3_0.3/au_68028.xlsx","au_68028")</f>
        <v>au_68028</v>
      </c>
      <c r="B178">
        <v>0</v>
      </c>
      <c r="C178">
        <v>1</v>
      </c>
      <c r="D178">
        <v>0</v>
      </c>
      <c r="E178">
        <v>1</v>
      </c>
      <c r="F178">
        <v>0</v>
      </c>
      <c r="G178">
        <v>1</v>
      </c>
    </row>
    <row r="179" spans="1:7" x14ac:dyDescent="0.25">
      <c r="A179" t="str">
        <f>HYPERLINK("./new_k5/query_cmdrels_weight_analyze/0.4_0.3_0.3/au_681312.xlsx","au_681312")</f>
        <v>au_681312</v>
      </c>
      <c r="B179">
        <v>0</v>
      </c>
      <c r="C179">
        <v>1</v>
      </c>
      <c r="D179">
        <v>0.33333333333333298</v>
      </c>
      <c r="E179">
        <v>1</v>
      </c>
      <c r="F179">
        <v>0.33333333333333298</v>
      </c>
      <c r="G179">
        <v>1</v>
      </c>
    </row>
    <row r="180" spans="1:7" x14ac:dyDescent="0.25">
      <c r="A180" t="str">
        <f>HYPERLINK("./new_k5/query_cmdrels_weight_analyze/0.4_0.3_0.3/au_686239.xlsx","au_686239")</f>
        <v>au_686239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0.2</v>
      </c>
    </row>
    <row r="181" spans="1:7" x14ac:dyDescent="0.25">
      <c r="A181" t="str">
        <f>HYPERLINK("./new_k5/query_cmdrels_weight_analyze/0.4_0.3_0.3/au_68809.xlsx","au_68809")</f>
        <v>au_68809</v>
      </c>
      <c r="B181">
        <v>0</v>
      </c>
      <c r="C181">
        <v>1</v>
      </c>
      <c r="D181">
        <v>0.33333333333333298</v>
      </c>
      <c r="E181">
        <v>1</v>
      </c>
      <c r="F181">
        <v>0.33333333333333298</v>
      </c>
      <c r="G181">
        <v>1</v>
      </c>
    </row>
    <row r="182" spans="1:7" x14ac:dyDescent="0.25">
      <c r="A182" t="str">
        <f>HYPERLINK("./new_k5/query_cmdrels_weight_analyze/0.4_0.3_0.3/au_69556.xlsx","au_69556")</f>
        <v>au_69556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</row>
    <row r="183" spans="1:7" x14ac:dyDescent="0.25">
      <c r="A183" t="str">
        <f>HYPERLINK("./new_k5/query_cmdrels_weight_analyze/0.4_0.3_0.3/au_698993.xlsx","au_698993")</f>
        <v>au_698993</v>
      </c>
      <c r="B183">
        <v>0</v>
      </c>
      <c r="C183">
        <v>1</v>
      </c>
      <c r="D183">
        <v>0.5</v>
      </c>
      <c r="E183">
        <v>1</v>
      </c>
      <c r="F183">
        <v>0.5</v>
      </c>
      <c r="G183">
        <v>1</v>
      </c>
    </row>
    <row r="184" spans="1:7" x14ac:dyDescent="0.25">
      <c r="A184" t="str">
        <f>HYPERLINK("./new_k5/query_cmdrels_weight_analyze/0.4_0.3_0.3/au_707881.xlsx","au_707881")</f>
        <v>au_707881</v>
      </c>
      <c r="B184">
        <v>1</v>
      </c>
      <c r="C184">
        <v>1</v>
      </c>
      <c r="D184">
        <v>1</v>
      </c>
      <c r="E184">
        <v>1</v>
      </c>
      <c r="F184">
        <v>1</v>
      </c>
      <c r="G184">
        <v>1</v>
      </c>
    </row>
    <row r="185" spans="1:7" x14ac:dyDescent="0.25">
      <c r="A185" t="str">
        <f>HYPERLINK("./new_k5/query_cmdrels_weight_analyze/0.4_0.3_0.3/au_709594.xlsx","au_709594")</f>
        <v>au_709594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</row>
    <row r="186" spans="1:7" x14ac:dyDescent="0.25">
      <c r="A186" t="str">
        <f>HYPERLINK("./new_k5/query_cmdrels_weight_analyze/0.4_0.3_0.3/au_71309.xlsx","au_71309")</f>
        <v>au_71309</v>
      </c>
      <c r="B186">
        <v>0</v>
      </c>
      <c r="C186">
        <v>1</v>
      </c>
      <c r="D186">
        <v>0</v>
      </c>
      <c r="E186">
        <v>1</v>
      </c>
      <c r="F186">
        <v>0</v>
      </c>
      <c r="G186">
        <v>1</v>
      </c>
    </row>
    <row r="187" spans="1:7" x14ac:dyDescent="0.25">
      <c r="A187" t="str">
        <f>HYPERLINK("./new_k5/query_cmdrels_weight_analyze/0.4_0.3_0.3/au_7138.xlsx","au_7138")</f>
        <v>au_7138</v>
      </c>
      <c r="B187">
        <v>0</v>
      </c>
      <c r="C187">
        <v>0</v>
      </c>
      <c r="D187">
        <v>0.5</v>
      </c>
      <c r="E187">
        <v>0.33333333333333331</v>
      </c>
      <c r="F187">
        <v>0.5</v>
      </c>
      <c r="G187">
        <v>0.33333333333333331</v>
      </c>
    </row>
    <row r="188" spans="1:7" x14ac:dyDescent="0.25">
      <c r="A188" t="str">
        <f>HYPERLINK("./new_k5/query_cmdrels_weight_analyze/0.4_0.3_0.3/au_72549.xlsx","au_72549")</f>
        <v>au_72549</v>
      </c>
      <c r="B188">
        <v>0</v>
      </c>
      <c r="C188">
        <v>0</v>
      </c>
      <c r="D188">
        <v>0.5</v>
      </c>
      <c r="E188">
        <v>0.33333333333333331</v>
      </c>
      <c r="F188">
        <v>0.5</v>
      </c>
      <c r="G188">
        <v>0.33333333333333331</v>
      </c>
    </row>
    <row r="189" spans="1:7" x14ac:dyDescent="0.25">
      <c r="A189" t="str">
        <f>HYPERLINK("./new_k5/query_cmdrels_weight_analyze/0.4_0.3_0.3/au_740805.xlsx","au_740805")</f>
        <v>au_740805</v>
      </c>
      <c r="B189">
        <v>1</v>
      </c>
      <c r="C189">
        <v>0</v>
      </c>
      <c r="D189">
        <v>1</v>
      </c>
      <c r="E189">
        <v>0.5</v>
      </c>
      <c r="F189">
        <v>1</v>
      </c>
      <c r="G189">
        <v>0.5</v>
      </c>
    </row>
    <row r="190" spans="1:7" x14ac:dyDescent="0.25">
      <c r="A190" t="str">
        <f>HYPERLINK("./new_k5/query_cmdrels_weight_analyze/0.4_0.3_0.3/au_760796.xlsx","au_760796")</f>
        <v>au_760796</v>
      </c>
      <c r="B190">
        <v>0</v>
      </c>
      <c r="C190">
        <v>1</v>
      </c>
      <c r="D190">
        <v>0</v>
      </c>
      <c r="E190">
        <v>1</v>
      </c>
      <c r="F190">
        <v>0.25</v>
      </c>
      <c r="G190">
        <v>1</v>
      </c>
    </row>
    <row r="191" spans="1:7" x14ac:dyDescent="0.25">
      <c r="A191" t="str">
        <f>HYPERLINK("./new_k5/query_cmdrels_weight_analyze/0.4_0.3_0.3/au_762846.xlsx","au_762846")</f>
        <v>au_762846</v>
      </c>
      <c r="B191">
        <v>0</v>
      </c>
      <c r="C191">
        <v>1</v>
      </c>
      <c r="D191">
        <v>0</v>
      </c>
      <c r="E191">
        <v>1</v>
      </c>
      <c r="F191">
        <v>0.2</v>
      </c>
      <c r="G191">
        <v>1</v>
      </c>
    </row>
    <row r="192" spans="1:7" x14ac:dyDescent="0.25">
      <c r="A192" t="str">
        <f>HYPERLINK("./new_k5/query_cmdrels_weight_analyze/0.4_0.3_0.3/au_767786.xlsx","au_767786")</f>
        <v>au_767786</v>
      </c>
      <c r="B192">
        <v>0</v>
      </c>
      <c r="C192">
        <v>1</v>
      </c>
      <c r="D192">
        <v>0</v>
      </c>
      <c r="E192">
        <v>1</v>
      </c>
      <c r="F192">
        <v>0.2</v>
      </c>
      <c r="G192">
        <v>1</v>
      </c>
    </row>
    <row r="193" spans="1:7" x14ac:dyDescent="0.25">
      <c r="A193" t="str">
        <f>HYPERLINK("./new_k5/query_cmdrels_weight_analyze/0.4_0.3_0.3/au_778906.xlsx","au_778906")</f>
        <v>au_778906</v>
      </c>
      <c r="B193">
        <v>0</v>
      </c>
      <c r="C193">
        <v>1</v>
      </c>
      <c r="D193">
        <v>0</v>
      </c>
      <c r="E193">
        <v>1</v>
      </c>
      <c r="F193">
        <v>0.2</v>
      </c>
      <c r="G193">
        <v>1</v>
      </c>
    </row>
    <row r="194" spans="1:7" x14ac:dyDescent="0.25">
      <c r="A194" t="str">
        <f>HYPERLINK("./new_k5/query_cmdrels_weight_analyze/0.4_0.3_0.3/au_818929.xlsx","au_818929")</f>
        <v>au_818929</v>
      </c>
      <c r="B194">
        <v>1</v>
      </c>
      <c r="C194">
        <v>1</v>
      </c>
      <c r="D194">
        <v>1</v>
      </c>
      <c r="E194">
        <v>1</v>
      </c>
      <c r="F194">
        <v>1</v>
      </c>
      <c r="G194">
        <v>1</v>
      </c>
    </row>
    <row r="195" spans="1:7" x14ac:dyDescent="0.25">
      <c r="A195" t="str">
        <f>HYPERLINK("./new_k5/query_cmdrels_weight_analyze/0.4_0.3_0.3/au_844876.xlsx","au_844876")</f>
        <v>au_844876</v>
      </c>
      <c r="B195">
        <v>1</v>
      </c>
      <c r="C195">
        <v>1</v>
      </c>
      <c r="D195">
        <v>1</v>
      </c>
      <c r="E195">
        <v>1</v>
      </c>
      <c r="F195">
        <v>1</v>
      </c>
      <c r="G195">
        <v>1</v>
      </c>
    </row>
    <row r="196" spans="1:7" x14ac:dyDescent="0.25">
      <c r="A196" t="str">
        <f>HYPERLINK("./new_k5/query_cmdrels_weight_analyze/0.4_0.3_0.3/au_85318.xlsx","au_85318")</f>
        <v>au_85318</v>
      </c>
      <c r="B196">
        <v>0</v>
      </c>
      <c r="C196">
        <v>1</v>
      </c>
      <c r="D196">
        <v>0</v>
      </c>
      <c r="E196">
        <v>1</v>
      </c>
      <c r="F196">
        <v>0</v>
      </c>
      <c r="G196">
        <v>1</v>
      </c>
    </row>
    <row r="197" spans="1:7" x14ac:dyDescent="0.25">
      <c r="A197" t="str">
        <f>HYPERLINK("./new_k5/query_cmdrels_weight_analyze/0.4_0.3_0.3/au_854332.xlsx","au_854332")</f>
        <v>au_854332</v>
      </c>
      <c r="B197">
        <v>0</v>
      </c>
      <c r="C197">
        <v>1</v>
      </c>
      <c r="D197">
        <v>0</v>
      </c>
      <c r="E197">
        <v>1</v>
      </c>
      <c r="F197">
        <v>0</v>
      </c>
      <c r="G197">
        <v>1</v>
      </c>
    </row>
    <row r="198" spans="1:7" x14ac:dyDescent="0.25">
      <c r="A198" t="str">
        <f>HYPERLINK("./new_k5/query_cmdrels_weight_analyze/0.4_0.3_0.3/au_854373.xlsx","au_854373")</f>
        <v>au_854373</v>
      </c>
      <c r="B198">
        <v>0</v>
      </c>
      <c r="C198">
        <v>0</v>
      </c>
      <c r="D198">
        <v>0</v>
      </c>
      <c r="E198">
        <v>0.5</v>
      </c>
      <c r="F198">
        <v>0</v>
      </c>
      <c r="G198">
        <v>0.5</v>
      </c>
    </row>
    <row r="199" spans="1:7" x14ac:dyDescent="0.25">
      <c r="A199" t="str">
        <f>HYPERLINK("./new_k5/query_cmdrels_weight_analyze/0.4_0.3_0.3/au_86843.xlsx","au_86843")</f>
        <v>au_86843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</row>
    <row r="200" spans="1:7" x14ac:dyDescent="0.25">
      <c r="A200" t="str">
        <f>HYPERLINK("./new_k5/query_cmdrels_weight_analyze/0.4_0.3_0.3/au_88108.xlsx","au_88108")</f>
        <v>au_88108</v>
      </c>
      <c r="B200">
        <v>0</v>
      </c>
      <c r="C200">
        <v>0</v>
      </c>
      <c r="D200">
        <v>0</v>
      </c>
      <c r="E200">
        <v>0</v>
      </c>
      <c r="F200">
        <v>0.2</v>
      </c>
      <c r="G200">
        <v>0.2</v>
      </c>
    </row>
    <row r="201" spans="1:7" x14ac:dyDescent="0.25">
      <c r="A201" t="str">
        <f>HYPERLINK("./new_k5/query_cmdrels_weight_analyze/0.4_0.3_0.3/au_90214.xlsx","au_90214")</f>
        <v>au_90214</v>
      </c>
      <c r="B201">
        <v>0</v>
      </c>
      <c r="C201">
        <v>0</v>
      </c>
      <c r="D201">
        <v>0</v>
      </c>
      <c r="E201">
        <v>0.33333333333333331</v>
      </c>
      <c r="F201">
        <v>0</v>
      </c>
      <c r="G201">
        <v>0.33333333333333331</v>
      </c>
    </row>
    <row r="202" spans="1:7" x14ac:dyDescent="0.25">
      <c r="A202" t="str">
        <f>HYPERLINK("./new_k5/query_cmdrels_weight_analyze/0.4_0.3_0.3/au_90339.xlsx","au_90339")</f>
        <v>au_90339</v>
      </c>
      <c r="B202">
        <v>1</v>
      </c>
      <c r="C202">
        <v>0</v>
      </c>
      <c r="D202">
        <v>1</v>
      </c>
      <c r="E202">
        <v>0.5</v>
      </c>
      <c r="F202">
        <v>1</v>
      </c>
      <c r="G202">
        <v>0.5</v>
      </c>
    </row>
    <row r="203" spans="1:7" x14ac:dyDescent="0.25">
      <c r="A203" t="str">
        <f>HYPERLINK("./new_k5/query_cmdrels_weight_analyze/0.4_0.3_0.3/au_91286.xlsx","au_91286")</f>
        <v>au_91286</v>
      </c>
      <c r="B203">
        <v>0</v>
      </c>
      <c r="C203">
        <v>0</v>
      </c>
      <c r="D203">
        <v>0.33333333333333298</v>
      </c>
      <c r="E203">
        <v>0.33333333333333331</v>
      </c>
      <c r="F203">
        <v>0.33333333333333298</v>
      </c>
      <c r="G203">
        <v>0.33333333333333331</v>
      </c>
    </row>
    <row r="204" spans="1:7" x14ac:dyDescent="0.25">
      <c r="A204" t="str">
        <f>HYPERLINK("./new_k5/query_cmdrels_weight_analyze/0.4_0.3_0.3/au_9135.xlsx","au_9135")</f>
        <v>au_9135</v>
      </c>
      <c r="B204">
        <v>0</v>
      </c>
      <c r="C204">
        <v>0</v>
      </c>
      <c r="D204">
        <v>0.5</v>
      </c>
      <c r="E204">
        <v>0.5</v>
      </c>
      <c r="F204">
        <v>0.5</v>
      </c>
      <c r="G204">
        <v>0.5</v>
      </c>
    </row>
    <row r="205" spans="1:7" x14ac:dyDescent="0.25">
      <c r="A205" t="str">
        <f>HYPERLINK("./new_k5/query_cmdrels_weight_analyze/0.4_0.3_0.3/au_935569.xlsx","au_935569")</f>
        <v>au_935569</v>
      </c>
      <c r="B205">
        <v>0</v>
      </c>
      <c r="C205">
        <v>0</v>
      </c>
      <c r="D205">
        <v>0.5</v>
      </c>
      <c r="E205">
        <v>0.5</v>
      </c>
      <c r="F205">
        <v>0.5</v>
      </c>
      <c r="G205">
        <v>0.5</v>
      </c>
    </row>
    <row r="206" spans="1:7" x14ac:dyDescent="0.25">
      <c r="A206" t="str">
        <f>HYPERLINK("./new_k5/query_cmdrels_weight_analyze/0.4_0.3_0.3/au_97936.xlsx","au_97936")</f>
        <v>au_97936</v>
      </c>
      <c r="B206">
        <v>0</v>
      </c>
      <c r="C206">
        <v>1</v>
      </c>
      <c r="D206">
        <v>0</v>
      </c>
      <c r="E206">
        <v>1</v>
      </c>
      <c r="F206">
        <v>0.25</v>
      </c>
      <c r="G206">
        <v>1</v>
      </c>
    </row>
    <row r="207" spans="1:7" x14ac:dyDescent="0.25">
      <c r="A207" t="str">
        <f>HYPERLINK("./new_k5/query_cmdrels_weight_analyze/0.4_0.3_0.3/so_10235778.xlsx","so_10235778")</f>
        <v>so_10235778</v>
      </c>
      <c r="B207">
        <v>1</v>
      </c>
      <c r="C207">
        <v>1</v>
      </c>
      <c r="D207">
        <v>1</v>
      </c>
      <c r="E207">
        <v>1</v>
      </c>
      <c r="F207">
        <v>1</v>
      </c>
      <c r="G207">
        <v>1</v>
      </c>
    </row>
    <row r="208" spans="1:7" x14ac:dyDescent="0.25">
      <c r="A208" t="str">
        <f>HYPERLINK("./new_k5/query_cmdrels_weight_analyze/0.4_0.3_0.3/so_1045910.xlsx","so_1045910")</f>
        <v>so_1045910</v>
      </c>
      <c r="B208">
        <v>0</v>
      </c>
      <c r="C208">
        <v>0</v>
      </c>
      <c r="D208">
        <v>0</v>
      </c>
      <c r="E208">
        <v>0.5</v>
      </c>
      <c r="F208">
        <v>0.2</v>
      </c>
      <c r="G208">
        <v>0.5</v>
      </c>
    </row>
    <row r="209" spans="1:7" x14ac:dyDescent="0.25">
      <c r="A209" t="str">
        <f>HYPERLINK("./new_k5/query_cmdrels_weight_analyze/0.4_0.3_0.3/so_10557360.xlsx","so_10557360")</f>
        <v>so_10557360</v>
      </c>
      <c r="B209">
        <v>0</v>
      </c>
      <c r="C209">
        <v>0</v>
      </c>
      <c r="D209">
        <v>0</v>
      </c>
      <c r="E209">
        <v>0.33333333333333331</v>
      </c>
      <c r="F209">
        <v>0.2</v>
      </c>
      <c r="G209">
        <v>0.33333333333333331</v>
      </c>
    </row>
    <row r="210" spans="1:7" x14ac:dyDescent="0.25">
      <c r="A210" t="str">
        <f>HYPERLINK("./new_k5/query_cmdrels_weight_analyze/0.4_0.3_0.3/so_1058047.xlsx","so_1058047")</f>
        <v>so_1058047</v>
      </c>
      <c r="B210">
        <v>1</v>
      </c>
      <c r="C210">
        <v>1</v>
      </c>
      <c r="D210">
        <v>1</v>
      </c>
      <c r="E210">
        <v>1</v>
      </c>
      <c r="F210">
        <v>1</v>
      </c>
      <c r="G210">
        <v>1</v>
      </c>
    </row>
    <row r="211" spans="1:7" x14ac:dyDescent="0.25">
      <c r="A211" t="str">
        <f>HYPERLINK("./new_k5/query_cmdrels_weight_analyze/0.4_0.3_0.3/so_10829402.xlsx","so_10829402")</f>
        <v>so_10829402</v>
      </c>
      <c r="B211">
        <v>0</v>
      </c>
      <c r="C211">
        <v>1</v>
      </c>
      <c r="D211">
        <v>0</v>
      </c>
      <c r="E211">
        <v>1</v>
      </c>
      <c r="F211">
        <v>0</v>
      </c>
      <c r="G211">
        <v>1</v>
      </c>
    </row>
    <row r="212" spans="1:7" x14ac:dyDescent="0.25">
      <c r="A212" t="str">
        <f>HYPERLINK("./new_k5/query_cmdrels_weight_analyze/0.4_0.3_0.3/so_1088098.xlsx","so_1088098")</f>
        <v>so_1088098</v>
      </c>
      <c r="B212">
        <v>0</v>
      </c>
      <c r="C212">
        <v>1</v>
      </c>
      <c r="D212">
        <v>0.33333333333333298</v>
      </c>
      <c r="E212">
        <v>1</v>
      </c>
      <c r="F212">
        <v>0.33333333333333298</v>
      </c>
      <c r="G212">
        <v>1</v>
      </c>
    </row>
    <row r="213" spans="1:7" x14ac:dyDescent="0.25">
      <c r="A213" t="str">
        <f>HYPERLINK("./new_k5/query_cmdrels_weight_analyze/0.4_0.3_0.3/so_10990949.xlsx","so_10990949")</f>
        <v>so_10990949</v>
      </c>
      <c r="B213">
        <v>1</v>
      </c>
      <c r="C213">
        <v>1</v>
      </c>
      <c r="D213">
        <v>1</v>
      </c>
      <c r="E213">
        <v>1</v>
      </c>
      <c r="F213">
        <v>1</v>
      </c>
      <c r="G213">
        <v>1</v>
      </c>
    </row>
    <row r="214" spans="1:7" x14ac:dyDescent="0.25">
      <c r="A214" t="str">
        <f>HYPERLINK("./new_k5/query_cmdrels_weight_analyze/0.4_0.3_0.3/so_11211705.xlsx","so_11211705")</f>
        <v>so_11211705</v>
      </c>
      <c r="B214">
        <v>0</v>
      </c>
      <c r="C214">
        <v>1</v>
      </c>
      <c r="D214">
        <v>0.33333333333333298</v>
      </c>
      <c r="E214">
        <v>1</v>
      </c>
      <c r="F214">
        <v>0.33333333333333298</v>
      </c>
      <c r="G214">
        <v>1</v>
      </c>
    </row>
    <row r="215" spans="1:7" x14ac:dyDescent="0.25">
      <c r="A215" t="str">
        <f>HYPERLINK("./new_k5/query_cmdrels_weight_analyze/0.4_0.3_0.3/so_112932.xlsx","so_112932")</f>
        <v>so_112932</v>
      </c>
      <c r="B215">
        <v>1</v>
      </c>
      <c r="C215">
        <v>0</v>
      </c>
      <c r="D215">
        <v>1</v>
      </c>
      <c r="E215">
        <v>0.5</v>
      </c>
      <c r="F215">
        <v>1</v>
      </c>
      <c r="G215">
        <v>0.5</v>
      </c>
    </row>
    <row r="216" spans="1:7" x14ac:dyDescent="0.25">
      <c r="A216" t="str">
        <f>HYPERLINK("./new_k5/query_cmdrels_weight_analyze/0.4_0.3_0.3/so_11392189.xlsx","so_11392189")</f>
        <v>so_11392189</v>
      </c>
      <c r="B216">
        <v>1</v>
      </c>
      <c r="C216">
        <v>0</v>
      </c>
      <c r="D216">
        <v>1</v>
      </c>
      <c r="E216">
        <v>0.33333333333333331</v>
      </c>
      <c r="F216">
        <v>1</v>
      </c>
      <c r="G216">
        <v>0.33333333333333331</v>
      </c>
    </row>
    <row r="217" spans="1:7" x14ac:dyDescent="0.25">
      <c r="A217" t="str">
        <f>HYPERLINK("./new_k5/query_cmdrels_weight_analyze/0.4_0.3_0.3/so_1183183.xlsx","so_1183183")</f>
        <v>so_1183183</v>
      </c>
      <c r="B217">
        <v>0</v>
      </c>
      <c r="C217">
        <v>0</v>
      </c>
      <c r="D217">
        <v>0</v>
      </c>
      <c r="E217">
        <v>0.33333333333333331</v>
      </c>
      <c r="F217">
        <v>0</v>
      </c>
      <c r="G217">
        <v>0.33333333333333331</v>
      </c>
    </row>
    <row r="218" spans="1:7" x14ac:dyDescent="0.25">
      <c r="A218" t="str">
        <f>HYPERLINK("./new_k5/query_cmdrels_weight_analyze/0.4_0.3_0.3/so_1194882.xlsx","so_1194882")</f>
        <v>so_1194882</v>
      </c>
      <c r="B218">
        <v>0</v>
      </c>
      <c r="C218">
        <v>1</v>
      </c>
      <c r="D218">
        <v>0</v>
      </c>
      <c r="E218">
        <v>1</v>
      </c>
      <c r="F218">
        <v>0</v>
      </c>
      <c r="G218">
        <v>1</v>
      </c>
    </row>
    <row r="219" spans="1:7" x14ac:dyDescent="0.25">
      <c r="A219" t="str">
        <f>HYPERLINK("./new_k5/query_cmdrels_weight_analyze/0.4_0.3_0.3/so_12120935.xlsx","so_12120935")</f>
        <v>so_12120935</v>
      </c>
      <c r="B219">
        <v>0</v>
      </c>
      <c r="C219">
        <v>1</v>
      </c>
      <c r="D219">
        <v>0.5</v>
      </c>
      <c r="E219">
        <v>1</v>
      </c>
      <c r="F219">
        <v>0.5</v>
      </c>
      <c r="G219">
        <v>1</v>
      </c>
    </row>
    <row r="220" spans="1:7" x14ac:dyDescent="0.25">
      <c r="A220" t="str">
        <f>HYPERLINK("./new_k5/query_cmdrels_weight_analyze/0.4_0.3_0.3/so_12313384.xlsx","so_12313384")</f>
        <v>so_12313384</v>
      </c>
      <c r="B220">
        <v>0</v>
      </c>
      <c r="C220">
        <v>1</v>
      </c>
      <c r="D220">
        <v>0</v>
      </c>
      <c r="E220">
        <v>1</v>
      </c>
      <c r="F220">
        <v>0.2</v>
      </c>
      <c r="G220">
        <v>1</v>
      </c>
    </row>
    <row r="221" spans="1:7" x14ac:dyDescent="0.25">
      <c r="A221" t="str">
        <f>HYPERLINK("./new_k5/query_cmdrels_weight_analyze/0.4_0.3_0.3/so_12392598.xlsx","so_12392598")</f>
        <v>so_12392598</v>
      </c>
      <c r="B221">
        <v>0</v>
      </c>
      <c r="C221">
        <v>1</v>
      </c>
      <c r="D221">
        <v>0</v>
      </c>
      <c r="E221">
        <v>1</v>
      </c>
      <c r="F221">
        <v>0</v>
      </c>
      <c r="G221">
        <v>1</v>
      </c>
    </row>
    <row r="222" spans="1:7" x14ac:dyDescent="0.25">
      <c r="A222" t="str">
        <f>HYPERLINK("./new_k5/query_cmdrels_weight_analyze/0.4_0.3_0.3/so_1241801.xlsx","so_1241801")</f>
        <v>so_1241801</v>
      </c>
      <c r="B222">
        <v>0</v>
      </c>
      <c r="C222">
        <v>1</v>
      </c>
      <c r="D222">
        <v>0.5</v>
      </c>
      <c r="E222">
        <v>1</v>
      </c>
      <c r="F222">
        <v>0.5</v>
      </c>
      <c r="G222">
        <v>1</v>
      </c>
    </row>
    <row r="223" spans="1:7" x14ac:dyDescent="0.25">
      <c r="A223" t="str">
        <f>HYPERLINK("./new_k5/query_cmdrels_weight_analyze/0.4_0.3_0.3/so_12522269.xlsx","so_12522269")</f>
        <v>so_12522269</v>
      </c>
      <c r="B223">
        <v>1</v>
      </c>
      <c r="C223">
        <v>0</v>
      </c>
      <c r="D223">
        <v>1</v>
      </c>
      <c r="E223">
        <v>0.5</v>
      </c>
      <c r="F223">
        <v>1</v>
      </c>
      <c r="G223">
        <v>0.5</v>
      </c>
    </row>
    <row r="224" spans="1:7" x14ac:dyDescent="0.25">
      <c r="A224" t="str">
        <f>HYPERLINK("./new_k5/query_cmdrels_weight_analyze/0.4_0.3_0.3/so_1293907.xlsx","so_1293907")</f>
        <v>so_1293907</v>
      </c>
      <c r="B224">
        <v>1</v>
      </c>
      <c r="C224">
        <v>1</v>
      </c>
      <c r="D224">
        <v>1</v>
      </c>
      <c r="E224">
        <v>1</v>
      </c>
      <c r="F224">
        <v>1</v>
      </c>
      <c r="G224">
        <v>1</v>
      </c>
    </row>
    <row r="225" spans="1:7" x14ac:dyDescent="0.25">
      <c r="A225" t="str">
        <f>HYPERLINK("./new_k5/query_cmdrels_weight_analyze/0.4_0.3_0.3/so_13428910.xlsx","so_13428910")</f>
        <v>so_13428910</v>
      </c>
      <c r="B225">
        <v>0</v>
      </c>
      <c r="C225">
        <v>1</v>
      </c>
      <c r="D225">
        <v>0.5</v>
      </c>
      <c r="E225">
        <v>1</v>
      </c>
      <c r="F225">
        <v>0.5</v>
      </c>
      <c r="G225">
        <v>1</v>
      </c>
    </row>
    <row r="226" spans="1:7" x14ac:dyDescent="0.25">
      <c r="A226" t="str">
        <f>HYPERLINK("./new_k5/query_cmdrels_weight_analyze/0.4_0.3_0.3/so_135688.xlsx","so_135688")</f>
        <v>so_135688</v>
      </c>
      <c r="B226">
        <v>1</v>
      </c>
      <c r="C226">
        <v>1</v>
      </c>
      <c r="D226">
        <v>1</v>
      </c>
      <c r="E226">
        <v>1</v>
      </c>
      <c r="F226">
        <v>1</v>
      </c>
      <c r="G226">
        <v>1</v>
      </c>
    </row>
    <row r="227" spans="1:7" x14ac:dyDescent="0.25">
      <c r="A227" t="str">
        <f>HYPERLINK("./new_k5/query_cmdrels_weight_analyze/0.4_0.3_0.3/so_13778273.xlsx","so_13778273")</f>
        <v>so_13778273</v>
      </c>
      <c r="B227">
        <v>0</v>
      </c>
      <c r="C227">
        <v>1</v>
      </c>
      <c r="D227">
        <v>0</v>
      </c>
      <c r="E227">
        <v>1</v>
      </c>
      <c r="F227">
        <v>0.2</v>
      </c>
      <c r="G227">
        <v>1</v>
      </c>
    </row>
    <row r="228" spans="1:7" x14ac:dyDescent="0.25">
      <c r="A228" t="str">
        <f>HYPERLINK("./new_k5/query_cmdrels_weight_analyze/0.4_0.3_0.3/so_1405611.xlsx","so_1405611")</f>
        <v>so_1405611</v>
      </c>
      <c r="B228">
        <v>0</v>
      </c>
      <c r="C228">
        <v>0</v>
      </c>
      <c r="D228">
        <v>0.5</v>
      </c>
      <c r="E228">
        <v>0</v>
      </c>
      <c r="F228">
        <v>0.5</v>
      </c>
      <c r="G228">
        <v>0.25</v>
      </c>
    </row>
    <row r="229" spans="1:7" x14ac:dyDescent="0.25">
      <c r="A229" t="str">
        <f>HYPERLINK("./new_k5/query_cmdrels_weight_analyze/0.4_0.3_0.3/so_14300794.xlsx","so_14300794")</f>
        <v>so_14300794</v>
      </c>
      <c r="B229">
        <v>1</v>
      </c>
      <c r="C229">
        <v>1</v>
      </c>
      <c r="D229">
        <v>1</v>
      </c>
      <c r="E229">
        <v>1</v>
      </c>
      <c r="F229">
        <v>1</v>
      </c>
      <c r="G229">
        <v>1</v>
      </c>
    </row>
    <row r="230" spans="1:7" x14ac:dyDescent="0.25">
      <c r="A230" t="str">
        <f>HYPERLINK("./new_k5/query_cmdrels_weight_analyze/0.4_0.3_0.3/so_143791.xlsx","so_143791")</f>
        <v>so_143791</v>
      </c>
      <c r="B230">
        <v>0</v>
      </c>
      <c r="C230">
        <v>0</v>
      </c>
      <c r="D230">
        <v>0.5</v>
      </c>
      <c r="E230">
        <v>0.5</v>
      </c>
      <c r="F230">
        <v>0.5</v>
      </c>
      <c r="G230">
        <v>0.5</v>
      </c>
    </row>
    <row r="231" spans="1:7" x14ac:dyDescent="0.25">
      <c r="A231" t="str">
        <f>HYPERLINK("./new_k5/query_cmdrels_weight_analyze/0.4_0.3_0.3/so_14750650.xlsx","so_14750650")</f>
        <v>so_14750650</v>
      </c>
      <c r="B231">
        <v>1</v>
      </c>
      <c r="C231">
        <v>0</v>
      </c>
      <c r="D231">
        <v>1</v>
      </c>
      <c r="E231">
        <v>0</v>
      </c>
      <c r="F231">
        <v>1</v>
      </c>
      <c r="G231">
        <v>0.2</v>
      </c>
    </row>
    <row r="232" spans="1:7" x14ac:dyDescent="0.25">
      <c r="A232" t="str">
        <f>HYPERLINK("./new_k5/query_cmdrels_weight_analyze/0.4_0.3_0.3/so_14978411.xlsx","so_14978411")</f>
        <v>so_14978411</v>
      </c>
      <c r="B232">
        <v>1</v>
      </c>
      <c r="C232">
        <v>1</v>
      </c>
      <c r="D232">
        <v>1</v>
      </c>
      <c r="E232">
        <v>1</v>
      </c>
      <c r="F232">
        <v>1</v>
      </c>
      <c r="G232">
        <v>1</v>
      </c>
    </row>
    <row r="233" spans="1:7" x14ac:dyDescent="0.25">
      <c r="A233" t="str">
        <f>HYPERLINK("./new_k5/query_cmdrels_weight_analyze/0.4_0.3_0.3/so_15236308.xlsx","so_15236308")</f>
        <v>so_15236308</v>
      </c>
      <c r="B233">
        <v>1</v>
      </c>
      <c r="C233">
        <v>1</v>
      </c>
      <c r="D233">
        <v>1</v>
      </c>
      <c r="E233">
        <v>1</v>
      </c>
      <c r="F233">
        <v>1</v>
      </c>
      <c r="G233">
        <v>1</v>
      </c>
    </row>
    <row r="234" spans="1:7" x14ac:dyDescent="0.25">
      <c r="A234" t="str">
        <f>HYPERLINK("./new_k5/query_cmdrels_weight_analyze/0.4_0.3_0.3/so_15286947.xlsx","so_15286947")</f>
        <v>so_15286947</v>
      </c>
      <c r="B234">
        <v>1</v>
      </c>
      <c r="C234">
        <v>0</v>
      </c>
      <c r="D234">
        <v>1</v>
      </c>
      <c r="E234">
        <v>0</v>
      </c>
      <c r="F234">
        <v>1</v>
      </c>
      <c r="G234">
        <v>0</v>
      </c>
    </row>
    <row r="235" spans="1:7" x14ac:dyDescent="0.25">
      <c r="A235" t="str">
        <f>HYPERLINK("./new_k5/query_cmdrels_weight_analyze/0.4_0.3_0.3/so_15402770.xlsx","so_15402770")</f>
        <v>so_15402770</v>
      </c>
      <c r="B235">
        <v>1</v>
      </c>
      <c r="C235">
        <v>1</v>
      </c>
      <c r="D235">
        <v>1</v>
      </c>
      <c r="E235">
        <v>1</v>
      </c>
      <c r="F235">
        <v>1</v>
      </c>
      <c r="G235">
        <v>1</v>
      </c>
    </row>
    <row r="236" spans="1:7" x14ac:dyDescent="0.25">
      <c r="A236" t="str">
        <f>HYPERLINK("./new_k5/query_cmdrels_weight_analyze/0.4_0.3_0.3/so_1570262.xlsx","so_1570262")</f>
        <v>so_1570262</v>
      </c>
      <c r="B236">
        <v>0</v>
      </c>
      <c r="C236">
        <v>0</v>
      </c>
      <c r="D236">
        <v>0.33333333333333298</v>
      </c>
      <c r="E236">
        <v>0.33333333333333331</v>
      </c>
      <c r="F236">
        <v>0.33333333333333298</v>
      </c>
      <c r="G236">
        <v>0.33333333333333331</v>
      </c>
    </row>
    <row r="237" spans="1:7" x14ac:dyDescent="0.25">
      <c r="A237" t="str">
        <f>HYPERLINK("./new_k5/query_cmdrels_weight_analyze/0.4_0.3_0.3/so_1583219.xlsx","so_1583219")</f>
        <v>so_1583219</v>
      </c>
      <c r="B237">
        <v>1</v>
      </c>
      <c r="C237">
        <v>1</v>
      </c>
      <c r="D237">
        <v>1</v>
      </c>
      <c r="E237">
        <v>1</v>
      </c>
      <c r="F237">
        <v>1</v>
      </c>
      <c r="G237">
        <v>1</v>
      </c>
    </row>
    <row r="238" spans="1:7" x14ac:dyDescent="0.25">
      <c r="A238" t="str">
        <f>HYPERLINK("./new_k5/query_cmdrels_weight_analyze/0.4_0.3_0.3/so_15872543.xlsx","so_15872543")</f>
        <v>so_15872543</v>
      </c>
      <c r="B238">
        <v>1</v>
      </c>
      <c r="C238">
        <v>1</v>
      </c>
      <c r="D238">
        <v>1</v>
      </c>
      <c r="E238">
        <v>1</v>
      </c>
      <c r="F238">
        <v>1</v>
      </c>
      <c r="G238">
        <v>1</v>
      </c>
    </row>
    <row r="239" spans="1:7" x14ac:dyDescent="0.25">
      <c r="A239" t="str">
        <f>HYPERLINK("./new_k5/query_cmdrels_weight_analyze/0.4_0.3_0.3/so_16038087.xlsx","so_16038087")</f>
        <v>so_16038087</v>
      </c>
      <c r="B239">
        <v>0</v>
      </c>
      <c r="C239">
        <v>1</v>
      </c>
      <c r="D239">
        <v>0</v>
      </c>
      <c r="E239">
        <v>1</v>
      </c>
      <c r="F239">
        <v>0</v>
      </c>
      <c r="G239">
        <v>1</v>
      </c>
    </row>
    <row r="240" spans="1:7" x14ac:dyDescent="0.25">
      <c r="A240" t="str">
        <f>HYPERLINK("./new_k5/query_cmdrels_weight_analyze/0.4_0.3_0.3/so_16212656.xlsx","so_16212656")</f>
        <v>so_16212656</v>
      </c>
      <c r="B240">
        <v>1</v>
      </c>
      <c r="C240">
        <v>1</v>
      </c>
      <c r="D240">
        <v>1</v>
      </c>
      <c r="E240">
        <v>1</v>
      </c>
      <c r="F240">
        <v>1</v>
      </c>
      <c r="G240">
        <v>1</v>
      </c>
    </row>
    <row r="241" spans="1:7" x14ac:dyDescent="0.25">
      <c r="A241" t="str">
        <f>HYPERLINK("./new_k5/query_cmdrels_weight_analyze/0.4_0.3_0.3/so_16575419.xlsx","so_16575419")</f>
        <v>so_16575419</v>
      </c>
      <c r="B241">
        <v>1</v>
      </c>
      <c r="C241">
        <v>1</v>
      </c>
      <c r="D241">
        <v>1</v>
      </c>
      <c r="E241">
        <v>1</v>
      </c>
      <c r="F241">
        <v>1</v>
      </c>
      <c r="G241">
        <v>1</v>
      </c>
    </row>
    <row r="242" spans="1:7" x14ac:dyDescent="0.25">
      <c r="A242" t="str">
        <f>HYPERLINK("./new_k5/query_cmdrels_weight_analyze/0.4_0.3_0.3/so_17582768.xlsx","so_17582768")</f>
        <v>so_17582768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0.25</v>
      </c>
    </row>
    <row r="243" spans="1:7" x14ac:dyDescent="0.25">
      <c r="A243" t="str">
        <f>HYPERLINK("./new_k5/query_cmdrels_weight_analyze/0.4_0.3_0.3/so_17607612.xlsx","so_17607612")</f>
        <v>so_17607612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0.2</v>
      </c>
    </row>
    <row r="244" spans="1:7" x14ac:dyDescent="0.25">
      <c r="A244" t="str">
        <f>HYPERLINK("./new_k5/query_cmdrels_weight_analyze/0.4_0.3_0.3/so_17829785.xlsx","so_17829785")</f>
        <v>so_17829785</v>
      </c>
      <c r="B244">
        <v>1</v>
      </c>
      <c r="C244">
        <v>1</v>
      </c>
      <c r="D244">
        <v>1</v>
      </c>
      <c r="E244">
        <v>1</v>
      </c>
      <c r="F244">
        <v>1</v>
      </c>
      <c r="G244">
        <v>1</v>
      </c>
    </row>
    <row r="245" spans="1:7" x14ac:dyDescent="0.25">
      <c r="A245" t="str">
        <f>HYPERLINK("./new_k5/query_cmdrels_weight_analyze/0.4_0.3_0.3/so_1839841.xlsx","so_1839841")</f>
        <v>so_1839841</v>
      </c>
      <c r="B245">
        <v>1</v>
      </c>
      <c r="C245">
        <v>1</v>
      </c>
      <c r="D245">
        <v>1</v>
      </c>
      <c r="E245">
        <v>1</v>
      </c>
      <c r="F245">
        <v>1</v>
      </c>
      <c r="G245">
        <v>1</v>
      </c>
    </row>
    <row r="246" spans="1:7" x14ac:dyDescent="0.25">
      <c r="A246" t="str">
        <f>HYPERLINK("./new_k5/query_cmdrels_weight_analyze/0.4_0.3_0.3/so_18468716.xlsx","so_18468716")</f>
        <v>so_18468716</v>
      </c>
      <c r="B246">
        <v>1</v>
      </c>
      <c r="C246">
        <v>1</v>
      </c>
      <c r="D246">
        <v>1</v>
      </c>
      <c r="E246">
        <v>1</v>
      </c>
      <c r="F246">
        <v>1</v>
      </c>
      <c r="G246">
        <v>1</v>
      </c>
    </row>
    <row r="247" spans="1:7" x14ac:dyDescent="0.25">
      <c r="A247" t="str">
        <f>HYPERLINK("./new_k5/query_cmdrels_weight_analyze/0.4_0.3_0.3/so_19196105.xlsx","so_19196105")</f>
        <v>so_19196105</v>
      </c>
      <c r="B247">
        <v>0</v>
      </c>
      <c r="C247">
        <v>0</v>
      </c>
      <c r="D247">
        <v>0</v>
      </c>
      <c r="E247">
        <v>0.5</v>
      </c>
      <c r="F247">
        <v>0</v>
      </c>
      <c r="G247">
        <v>0.5</v>
      </c>
    </row>
    <row r="248" spans="1:7" x14ac:dyDescent="0.25">
      <c r="A248" t="str">
        <f>HYPERLINK("./new_k5/query_cmdrels_weight_analyze/0.4_0.3_0.3/so_19482123.xlsx","so_19482123")</f>
        <v>so_19482123</v>
      </c>
      <c r="B248">
        <v>0</v>
      </c>
      <c r="C248">
        <v>1</v>
      </c>
      <c r="D248">
        <v>0</v>
      </c>
      <c r="E248">
        <v>1</v>
      </c>
      <c r="F248">
        <v>0</v>
      </c>
      <c r="G248">
        <v>1</v>
      </c>
    </row>
    <row r="249" spans="1:7" x14ac:dyDescent="0.25">
      <c r="A249" t="str">
        <f>HYPERLINK("./new_k5/query_cmdrels_weight_analyze/0.4_0.3_0.3/so_1975849.xlsx","so_1975849")</f>
        <v>so_1975849</v>
      </c>
      <c r="B249">
        <v>0</v>
      </c>
      <c r="C249">
        <v>1</v>
      </c>
      <c r="D249">
        <v>0</v>
      </c>
      <c r="E249">
        <v>1</v>
      </c>
      <c r="F249">
        <v>0</v>
      </c>
      <c r="G249">
        <v>1</v>
      </c>
    </row>
    <row r="250" spans="1:7" x14ac:dyDescent="0.25">
      <c r="A250" t="str">
        <f>HYPERLINK("./new_k5/query_cmdrels_weight_analyze/0.4_0.3_0.3/so_212528.xlsx","so_212528")</f>
        <v>so_212528</v>
      </c>
      <c r="B250">
        <v>0</v>
      </c>
      <c r="C250">
        <v>1</v>
      </c>
      <c r="D250">
        <v>0.33333333333333298</v>
      </c>
      <c r="E250">
        <v>1</v>
      </c>
      <c r="F250">
        <v>0.33333333333333298</v>
      </c>
      <c r="G250">
        <v>1</v>
      </c>
    </row>
    <row r="251" spans="1:7" x14ac:dyDescent="0.25">
      <c r="A251" t="str">
        <f>HYPERLINK("./new_k5/query_cmdrels_weight_analyze/0.4_0.3_0.3/so_21620406.xlsx","so_21620406")</f>
        <v>so_21620406</v>
      </c>
      <c r="B251">
        <v>0</v>
      </c>
      <c r="C251">
        <v>0</v>
      </c>
      <c r="D251">
        <v>0</v>
      </c>
      <c r="E251">
        <v>0.33333333333333331</v>
      </c>
      <c r="F251">
        <v>0</v>
      </c>
      <c r="G251">
        <v>0.33333333333333331</v>
      </c>
    </row>
    <row r="252" spans="1:7" x14ac:dyDescent="0.25">
      <c r="A252" t="str">
        <f>HYPERLINK("./new_k5/query_cmdrels_weight_analyze/0.4_0.3_0.3/so_23509348.xlsx","so_23509348")</f>
        <v>so_23509348</v>
      </c>
      <c r="B252">
        <v>1</v>
      </c>
      <c r="C252">
        <v>0</v>
      </c>
      <c r="D252">
        <v>1</v>
      </c>
      <c r="E252">
        <v>0.5</v>
      </c>
      <c r="F252">
        <v>1</v>
      </c>
      <c r="G252">
        <v>0.5</v>
      </c>
    </row>
    <row r="253" spans="1:7" x14ac:dyDescent="0.25">
      <c r="A253" t="str">
        <f>HYPERLINK("./new_k5/query_cmdrels_weight_analyze/0.4_0.3_0.3/so_24058544.xlsx","so_24058544")</f>
        <v>so_24058544</v>
      </c>
      <c r="B253">
        <v>1</v>
      </c>
      <c r="C253">
        <v>1</v>
      </c>
      <c r="D253">
        <v>1</v>
      </c>
      <c r="E253">
        <v>1</v>
      </c>
      <c r="F253">
        <v>1</v>
      </c>
      <c r="G253">
        <v>1</v>
      </c>
    </row>
    <row r="254" spans="1:7" x14ac:dyDescent="0.25">
      <c r="A254" t="str">
        <f>HYPERLINK("./new_k5/query_cmdrels_weight_analyze/0.4_0.3_0.3/so_24283097.xlsx","so_24283097")</f>
        <v>so_24283097</v>
      </c>
      <c r="B254">
        <v>0</v>
      </c>
      <c r="C254">
        <v>0</v>
      </c>
      <c r="D254">
        <v>0</v>
      </c>
      <c r="E254">
        <v>0</v>
      </c>
      <c r="F254">
        <v>0.25</v>
      </c>
      <c r="G254">
        <v>0</v>
      </c>
    </row>
    <row r="255" spans="1:7" x14ac:dyDescent="0.25">
      <c r="A255" t="str">
        <f>HYPERLINK("./new_k5/query_cmdrels_weight_analyze/0.4_0.3_0.3/so_26256279.xlsx","so_26256279")</f>
        <v>so_26256279</v>
      </c>
      <c r="B255">
        <v>0</v>
      </c>
      <c r="C255">
        <v>1</v>
      </c>
      <c r="D255">
        <v>0.5</v>
      </c>
      <c r="E255">
        <v>1</v>
      </c>
      <c r="F255">
        <v>0.5</v>
      </c>
      <c r="G255">
        <v>1</v>
      </c>
    </row>
    <row r="256" spans="1:7" x14ac:dyDescent="0.25">
      <c r="A256" t="str">
        <f>HYPERLINK("./new_k5/query_cmdrels_weight_analyze/0.4_0.3_0.3/so_26331651.xlsx","so_26331651")</f>
        <v>so_26331651</v>
      </c>
      <c r="B256">
        <v>0</v>
      </c>
      <c r="C256">
        <v>1</v>
      </c>
      <c r="D256">
        <v>0</v>
      </c>
      <c r="E256">
        <v>1</v>
      </c>
      <c r="F256">
        <v>0</v>
      </c>
      <c r="G256">
        <v>1</v>
      </c>
    </row>
    <row r="257" spans="1:7" x14ac:dyDescent="0.25">
      <c r="A257" t="str">
        <f>HYPERLINK("./new_k5/query_cmdrels_weight_analyze/0.4_0.3_0.3/so_26988262.xlsx","so_26988262")</f>
        <v>so_26988262</v>
      </c>
      <c r="B257">
        <v>0</v>
      </c>
      <c r="C257">
        <v>1</v>
      </c>
      <c r="D257">
        <v>0</v>
      </c>
      <c r="E257">
        <v>1</v>
      </c>
      <c r="F257">
        <v>0.2</v>
      </c>
      <c r="G257">
        <v>1</v>
      </c>
    </row>
    <row r="258" spans="1:7" x14ac:dyDescent="0.25">
      <c r="A258" t="str">
        <f>HYPERLINK("./new_k5/query_cmdrels_weight_analyze/0.4_0.3_0.3/so_27238411.xlsx","so_27238411")</f>
        <v>so_27238411</v>
      </c>
      <c r="B258">
        <v>1</v>
      </c>
      <c r="C258">
        <v>1</v>
      </c>
      <c r="D258">
        <v>1</v>
      </c>
      <c r="E258">
        <v>1</v>
      </c>
      <c r="F258">
        <v>1</v>
      </c>
      <c r="G258">
        <v>1</v>
      </c>
    </row>
    <row r="259" spans="1:7" x14ac:dyDescent="0.25">
      <c r="A259" t="str">
        <f>HYPERLINK("./new_k5/query_cmdrels_weight_analyze/0.4_0.3_0.3/so_27943059.xlsx","so_27943059")</f>
        <v>so_27943059</v>
      </c>
      <c r="B259">
        <v>0</v>
      </c>
      <c r="C259">
        <v>1</v>
      </c>
      <c r="D259">
        <v>0.33333333333333298</v>
      </c>
      <c r="E259">
        <v>1</v>
      </c>
      <c r="F259">
        <v>0.33333333333333298</v>
      </c>
      <c r="G259">
        <v>1</v>
      </c>
    </row>
    <row r="260" spans="1:7" x14ac:dyDescent="0.25">
      <c r="A260" t="str">
        <f>HYPERLINK("./new_k5/query_cmdrels_weight_analyze/0.4_0.3_0.3/so_28869004.xlsx","so_28869004")</f>
        <v>so_28869004</v>
      </c>
      <c r="B260">
        <v>1</v>
      </c>
      <c r="C260">
        <v>1</v>
      </c>
      <c r="D260">
        <v>1</v>
      </c>
      <c r="E260">
        <v>1</v>
      </c>
      <c r="F260">
        <v>1</v>
      </c>
      <c r="G260">
        <v>1</v>
      </c>
    </row>
    <row r="261" spans="1:7" x14ac:dyDescent="0.25">
      <c r="A261" t="str">
        <f>HYPERLINK("./new_k5/query_cmdrels_weight_analyze/0.4_0.3_0.3/so_2973624.xlsx","so_2973624")</f>
        <v>so_2973624</v>
      </c>
      <c r="B261">
        <v>1</v>
      </c>
      <c r="C261">
        <v>1</v>
      </c>
      <c r="D261">
        <v>1</v>
      </c>
      <c r="E261">
        <v>1</v>
      </c>
      <c r="F261">
        <v>1</v>
      </c>
      <c r="G261">
        <v>1</v>
      </c>
    </row>
    <row r="262" spans="1:7" x14ac:dyDescent="0.25">
      <c r="A262" t="str">
        <f>HYPERLINK("./new_k5/query_cmdrels_weight_analyze/0.4_0.3_0.3/so_30177455.xlsx","so_30177455")</f>
        <v>so_30177455</v>
      </c>
      <c r="B262">
        <v>0</v>
      </c>
      <c r="C262">
        <v>0</v>
      </c>
      <c r="D262">
        <v>0</v>
      </c>
      <c r="E262">
        <v>0.33333333333333331</v>
      </c>
      <c r="F262">
        <v>0</v>
      </c>
      <c r="G262">
        <v>0.33333333333333331</v>
      </c>
    </row>
    <row r="263" spans="1:7" x14ac:dyDescent="0.25">
      <c r="A263" t="str">
        <f>HYPERLINK("./new_k5/query_cmdrels_weight_analyze/0.4_0.3_0.3/so_30251889.xlsx","so_30251889")</f>
        <v>so_30251889</v>
      </c>
      <c r="B263">
        <v>0</v>
      </c>
      <c r="C263">
        <v>0</v>
      </c>
      <c r="D263">
        <v>0.5</v>
      </c>
      <c r="E263">
        <v>0.5</v>
      </c>
      <c r="F263">
        <v>0.5</v>
      </c>
      <c r="G263">
        <v>0.5</v>
      </c>
    </row>
    <row r="264" spans="1:7" x14ac:dyDescent="0.25">
      <c r="A264" t="str">
        <f>HYPERLINK("./new_k5/query_cmdrels_weight_analyze/0.4_0.3_0.3/so_305035.xlsx","so_305035")</f>
        <v>so_305035</v>
      </c>
      <c r="B264">
        <v>1</v>
      </c>
      <c r="C264">
        <v>1</v>
      </c>
      <c r="D264">
        <v>1</v>
      </c>
      <c r="E264">
        <v>1</v>
      </c>
      <c r="F264">
        <v>1</v>
      </c>
      <c r="G264">
        <v>1</v>
      </c>
    </row>
    <row r="265" spans="1:7" x14ac:dyDescent="0.25">
      <c r="A265" t="str">
        <f>HYPERLINK("./new_k5/query_cmdrels_weight_analyze/0.4_0.3_0.3/so_36249744.xlsx","so_36249744")</f>
        <v>so_36249744</v>
      </c>
      <c r="B265">
        <v>0</v>
      </c>
      <c r="C265">
        <v>0</v>
      </c>
      <c r="D265">
        <v>0</v>
      </c>
      <c r="E265">
        <v>0.33333333333333331</v>
      </c>
      <c r="F265">
        <v>0</v>
      </c>
      <c r="G265">
        <v>0.33333333333333331</v>
      </c>
    </row>
    <row r="266" spans="1:7" x14ac:dyDescent="0.25">
      <c r="A266" t="str">
        <f>HYPERLINK("./new_k5/query_cmdrels_weight_analyze/0.4_0.3_0.3/so_3643848.xlsx","so_3643848")</f>
        <v>so_3643848</v>
      </c>
      <c r="B266">
        <v>1</v>
      </c>
      <c r="C266">
        <v>1</v>
      </c>
      <c r="D266">
        <v>1</v>
      </c>
      <c r="E266">
        <v>1</v>
      </c>
      <c r="F266">
        <v>1</v>
      </c>
      <c r="G266">
        <v>1</v>
      </c>
    </row>
    <row r="267" spans="1:7" x14ac:dyDescent="0.25">
      <c r="A267" t="str">
        <f>HYPERLINK("./new_k5/query_cmdrels_weight_analyze/0.4_0.3_0.3/so_3667329.xlsx","so_3667329")</f>
        <v>so_3667329</v>
      </c>
      <c r="B267">
        <v>1</v>
      </c>
      <c r="C267">
        <v>1</v>
      </c>
      <c r="D267">
        <v>1</v>
      </c>
      <c r="E267">
        <v>1</v>
      </c>
      <c r="F267">
        <v>1</v>
      </c>
      <c r="G267">
        <v>1</v>
      </c>
    </row>
    <row r="268" spans="1:7" x14ac:dyDescent="0.25">
      <c r="A268" t="str">
        <f>HYPERLINK("./new_k5/query_cmdrels_weight_analyze/0.4_0.3_0.3/so_369758.xlsx","so_369758")</f>
        <v>so_369758</v>
      </c>
      <c r="B268">
        <v>1</v>
      </c>
      <c r="C268">
        <v>1</v>
      </c>
      <c r="D268">
        <v>1</v>
      </c>
      <c r="E268">
        <v>1</v>
      </c>
      <c r="F268">
        <v>1</v>
      </c>
      <c r="G268">
        <v>1</v>
      </c>
    </row>
    <row r="269" spans="1:7" x14ac:dyDescent="0.25">
      <c r="A269" t="str">
        <f>HYPERLINK("./new_k5/query_cmdrels_weight_analyze/0.4_0.3_0.3/so_3756323.xlsx","so_3756323")</f>
        <v>so_3756323</v>
      </c>
      <c r="B269">
        <v>0</v>
      </c>
      <c r="C269">
        <v>1</v>
      </c>
      <c r="D269">
        <v>0</v>
      </c>
      <c r="E269">
        <v>1</v>
      </c>
      <c r="F269">
        <v>0.25</v>
      </c>
      <c r="G269">
        <v>1</v>
      </c>
    </row>
    <row r="270" spans="1:7" x14ac:dyDescent="0.25">
      <c r="A270" t="str">
        <f>HYPERLINK("./new_k5/query_cmdrels_weight_analyze/0.4_0.3_0.3/so_3767267.xlsx","so_3767267")</f>
        <v>so_3767267</v>
      </c>
      <c r="B270">
        <v>0</v>
      </c>
      <c r="C270">
        <v>0</v>
      </c>
      <c r="D270">
        <v>0.33333333333333298</v>
      </c>
      <c r="E270">
        <v>0.5</v>
      </c>
      <c r="F270">
        <v>0.33333333333333298</v>
      </c>
      <c r="G270">
        <v>0.5</v>
      </c>
    </row>
    <row r="271" spans="1:7" x14ac:dyDescent="0.25">
      <c r="A271" t="str">
        <f>HYPERLINK("./new_k5/query_cmdrels_weight_analyze/0.4_0.3_0.3/so_3833578.xlsx","so_3833578")</f>
        <v>so_3833578</v>
      </c>
      <c r="B271">
        <v>0</v>
      </c>
      <c r="C271">
        <v>1</v>
      </c>
      <c r="D271">
        <v>0.33333333333333298</v>
      </c>
      <c r="E271">
        <v>1</v>
      </c>
      <c r="F271">
        <v>0.33333333333333298</v>
      </c>
      <c r="G271">
        <v>1</v>
      </c>
    </row>
    <row r="272" spans="1:7" x14ac:dyDescent="0.25">
      <c r="A272" t="str">
        <f>HYPERLINK("./new_k5/query_cmdrels_weight_analyze/0.4_0.3_0.3/so_3891076.xlsx","so_3891076")</f>
        <v>so_3891076</v>
      </c>
      <c r="B272">
        <v>0</v>
      </c>
      <c r="C272">
        <v>1</v>
      </c>
      <c r="D272">
        <v>0</v>
      </c>
      <c r="E272">
        <v>1</v>
      </c>
      <c r="F272">
        <v>0</v>
      </c>
      <c r="G272">
        <v>1</v>
      </c>
    </row>
    <row r="273" spans="1:7" x14ac:dyDescent="0.25">
      <c r="A273" t="str">
        <f>HYPERLINK("./new_k5/query_cmdrels_weight_analyze/0.4_0.3_0.3/so_3963085.xlsx","so_3963085")</f>
        <v>so_3963085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</row>
    <row r="274" spans="1:7" x14ac:dyDescent="0.25">
      <c r="A274" t="str">
        <f>HYPERLINK("./new_k5/query_cmdrels_weight_analyze/0.4_0.3_0.3/so_4325216.xlsx","so_4325216")</f>
        <v>so_4325216</v>
      </c>
      <c r="B274">
        <v>1</v>
      </c>
      <c r="C274">
        <v>1</v>
      </c>
      <c r="D274">
        <v>1</v>
      </c>
      <c r="E274">
        <v>1</v>
      </c>
      <c r="F274">
        <v>1</v>
      </c>
      <c r="G274">
        <v>1</v>
      </c>
    </row>
    <row r="275" spans="1:7" x14ac:dyDescent="0.25">
      <c r="A275" t="str">
        <f>HYPERLINK("./new_k5/query_cmdrels_weight_analyze/0.4_0.3_0.3/so_448005.xlsx","so_448005")</f>
        <v>so_448005</v>
      </c>
      <c r="B275">
        <v>0</v>
      </c>
      <c r="C275">
        <v>1</v>
      </c>
      <c r="D275">
        <v>0</v>
      </c>
      <c r="E275">
        <v>1</v>
      </c>
      <c r="F275">
        <v>0</v>
      </c>
      <c r="G275">
        <v>1</v>
      </c>
    </row>
    <row r="276" spans="1:7" x14ac:dyDescent="0.25">
      <c r="A276" t="str">
        <f>HYPERLINK("./new_k5/query_cmdrels_weight_analyze/0.4_0.3_0.3/so_4921879.xlsx","so_4921879")</f>
        <v>so_4921879</v>
      </c>
      <c r="B276">
        <v>0</v>
      </c>
      <c r="C276">
        <v>1</v>
      </c>
      <c r="D276">
        <v>0.33333333333333298</v>
      </c>
      <c r="E276">
        <v>1</v>
      </c>
      <c r="F276">
        <v>0.33333333333333298</v>
      </c>
      <c r="G276">
        <v>1</v>
      </c>
    </row>
    <row r="277" spans="1:7" x14ac:dyDescent="0.25">
      <c r="A277" t="str">
        <f>HYPERLINK("./new_k5/query_cmdrels_weight_analyze/0.4_0.3_0.3/so_4922943.xlsx","so_4922943")</f>
        <v>so_4922943</v>
      </c>
      <c r="B277">
        <v>0</v>
      </c>
      <c r="C277">
        <v>1</v>
      </c>
      <c r="D277">
        <v>0</v>
      </c>
      <c r="E277">
        <v>1</v>
      </c>
      <c r="F277">
        <v>0</v>
      </c>
      <c r="G277">
        <v>1</v>
      </c>
    </row>
    <row r="278" spans="1:7" x14ac:dyDescent="0.25">
      <c r="A278" t="str">
        <f>HYPERLINK("./new_k5/query_cmdrels_weight_analyze/0.4_0.3_0.3/so_5119946.xlsx","so_5119946")</f>
        <v>so_5119946</v>
      </c>
      <c r="B278">
        <v>1</v>
      </c>
      <c r="C278">
        <v>0</v>
      </c>
      <c r="D278">
        <v>1</v>
      </c>
      <c r="E278">
        <v>0.5</v>
      </c>
      <c r="F278">
        <v>1</v>
      </c>
      <c r="G278">
        <v>0.5</v>
      </c>
    </row>
    <row r="279" spans="1:7" x14ac:dyDescent="0.25">
      <c r="A279" t="str">
        <f>HYPERLINK("./new_k5/query_cmdrels_weight_analyze/0.4_0.3_0.3/so_5164985.xlsx","so_5164985")</f>
        <v>so_5164985</v>
      </c>
      <c r="B279">
        <v>1</v>
      </c>
      <c r="C279">
        <v>0</v>
      </c>
      <c r="D279">
        <v>1</v>
      </c>
      <c r="E279">
        <v>0.5</v>
      </c>
      <c r="F279">
        <v>1</v>
      </c>
      <c r="G279">
        <v>0.5</v>
      </c>
    </row>
    <row r="280" spans="1:7" x14ac:dyDescent="0.25">
      <c r="A280" t="str">
        <f>HYPERLINK("./new_k5/query_cmdrels_weight_analyze/0.4_0.3_0.3/so_5306153.xlsx","so_5306153")</f>
        <v>so_5306153</v>
      </c>
      <c r="B280">
        <v>0</v>
      </c>
      <c r="C280">
        <v>1</v>
      </c>
      <c r="D280">
        <v>0</v>
      </c>
      <c r="E280">
        <v>1</v>
      </c>
      <c r="F280">
        <v>0</v>
      </c>
      <c r="G280">
        <v>1</v>
      </c>
    </row>
    <row r="281" spans="1:7" x14ac:dyDescent="0.25">
      <c r="A281" t="str">
        <f>HYPERLINK("./new_k5/query_cmdrels_weight_analyze/0.4_0.3_0.3/so_5566310.xlsx","so_5566310")</f>
        <v>so_5566310</v>
      </c>
      <c r="B281">
        <v>1</v>
      </c>
      <c r="C281">
        <v>1</v>
      </c>
      <c r="D281">
        <v>1</v>
      </c>
      <c r="E281">
        <v>1</v>
      </c>
      <c r="F281">
        <v>1</v>
      </c>
      <c r="G281">
        <v>1</v>
      </c>
    </row>
    <row r="282" spans="1:7" x14ac:dyDescent="0.25">
      <c r="A282" t="str">
        <f>HYPERLINK("./new_k5/query_cmdrels_weight_analyze/0.4_0.3_0.3/so_5927369.xlsx","so_5927369")</f>
        <v>so_5927369</v>
      </c>
      <c r="B282">
        <v>1</v>
      </c>
      <c r="C282">
        <v>1</v>
      </c>
      <c r="D282">
        <v>1</v>
      </c>
      <c r="E282">
        <v>1</v>
      </c>
      <c r="F282">
        <v>1</v>
      </c>
      <c r="G282">
        <v>1</v>
      </c>
    </row>
    <row r="283" spans="1:7" x14ac:dyDescent="0.25">
      <c r="A283" t="str">
        <f>HYPERLINK("./new_k5/query_cmdrels_weight_analyze/0.4_0.3_0.3/so_5947742.xlsx","so_5947742")</f>
        <v>so_5947742</v>
      </c>
      <c r="B283">
        <v>0</v>
      </c>
      <c r="C283">
        <v>1</v>
      </c>
      <c r="D283">
        <v>0</v>
      </c>
      <c r="E283">
        <v>1</v>
      </c>
      <c r="F283">
        <v>0</v>
      </c>
      <c r="G283">
        <v>1</v>
      </c>
    </row>
    <row r="284" spans="1:7" x14ac:dyDescent="0.25">
      <c r="A284" t="str">
        <f>HYPERLINK("./new_k5/query_cmdrels_weight_analyze/0.4_0.3_0.3/so_614795.xlsx","so_614795")</f>
        <v>so_614795</v>
      </c>
      <c r="B284">
        <v>0</v>
      </c>
      <c r="C284">
        <v>1</v>
      </c>
      <c r="D284">
        <v>0</v>
      </c>
      <c r="E284">
        <v>1</v>
      </c>
      <c r="F284">
        <v>0</v>
      </c>
      <c r="G284">
        <v>1</v>
      </c>
    </row>
    <row r="285" spans="1:7" x14ac:dyDescent="0.25">
      <c r="A285" t="str">
        <f>HYPERLINK("./new_k5/query_cmdrels_weight_analyze/0.4_0.3_0.3/so_6207573.xlsx","so_6207573")</f>
        <v>so_6207573</v>
      </c>
      <c r="B285">
        <v>1</v>
      </c>
      <c r="C285">
        <v>1</v>
      </c>
      <c r="D285">
        <v>1</v>
      </c>
      <c r="E285">
        <v>1</v>
      </c>
      <c r="F285">
        <v>1</v>
      </c>
      <c r="G285">
        <v>1</v>
      </c>
    </row>
    <row r="286" spans="1:7" x14ac:dyDescent="0.25">
      <c r="A286" t="str">
        <f>HYPERLINK("./new_k5/query_cmdrels_weight_analyze/0.4_0.3_0.3/so_6283167.xlsx","so_6283167")</f>
        <v>so_6283167</v>
      </c>
      <c r="B286">
        <v>0</v>
      </c>
      <c r="C286">
        <v>1</v>
      </c>
      <c r="D286">
        <v>0.33333333333333298</v>
      </c>
      <c r="E286">
        <v>1</v>
      </c>
      <c r="F286">
        <v>0.33333333333333298</v>
      </c>
      <c r="G286">
        <v>1</v>
      </c>
    </row>
    <row r="287" spans="1:7" x14ac:dyDescent="0.25">
      <c r="A287" t="str">
        <f>HYPERLINK("./new_k5/query_cmdrels_weight_analyze/0.4_0.3_0.3/so_6329505.xlsx","so_6329505")</f>
        <v>so_6329505</v>
      </c>
      <c r="B287">
        <v>0</v>
      </c>
      <c r="C287">
        <v>0</v>
      </c>
      <c r="D287">
        <v>0.5</v>
      </c>
      <c r="E287">
        <v>0.5</v>
      </c>
      <c r="F287">
        <v>0.5</v>
      </c>
      <c r="G287">
        <v>0.5</v>
      </c>
    </row>
    <row r="288" spans="1:7" x14ac:dyDescent="0.25">
      <c r="A288" t="str">
        <f>HYPERLINK("./new_k5/query_cmdrels_weight_analyze/0.4_0.3_0.3/so_6423532.xlsx","so_6423532")</f>
        <v>so_6423532</v>
      </c>
      <c r="B288">
        <v>1</v>
      </c>
      <c r="C288">
        <v>1</v>
      </c>
      <c r="D288">
        <v>1</v>
      </c>
      <c r="E288">
        <v>1</v>
      </c>
      <c r="F288">
        <v>1</v>
      </c>
      <c r="G288">
        <v>1</v>
      </c>
    </row>
    <row r="289" spans="1:7" x14ac:dyDescent="0.25">
      <c r="A289" t="str">
        <f>HYPERLINK("./new_k5/query_cmdrels_weight_analyze/0.4_0.3_0.3/so_669438.xlsx","so_669438")</f>
        <v>so_669438</v>
      </c>
      <c r="B289">
        <v>0</v>
      </c>
      <c r="C289">
        <v>1</v>
      </c>
      <c r="D289">
        <v>0.33333333333333298</v>
      </c>
      <c r="E289">
        <v>1</v>
      </c>
      <c r="F289">
        <v>0.33333333333333298</v>
      </c>
      <c r="G289">
        <v>1</v>
      </c>
    </row>
    <row r="290" spans="1:7" x14ac:dyDescent="0.25">
      <c r="A290" t="str">
        <f>HYPERLINK("./new_k5/query_cmdrels_weight_analyze/0.4_0.3_0.3/so_7052875.xlsx","so_7052875")</f>
        <v>so_7052875</v>
      </c>
      <c r="B290">
        <v>0</v>
      </c>
      <c r="C290">
        <v>0</v>
      </c>
      <c r="D290">
        <v>0</v>
      </c>
      <c r="E290">
        <v>0.5</v>
      </c>
      <c r="F290">
        <v>0</v>
      </c>
      <c r="G290">
        <v>0.5</v>
      </c>
    </row>
    <row r="291" spans="1:7" x14ac:dyDescent="0.25">
      <c r="A291" t="str">
        <f>HYPERLINK("./new_k5/query_cmdrels_weight_analyze/0.4_0.3_0.3/so_7221757.xlsx","so_7221757")</f>
        <v>so_7221757</v>
      </c>
      <c r="B291">
        <v>0</v>
      </c>
      <c r="C291">
        <v>1</v>
      </c>
      <c r="D291">
        <v>0</v>
      </c>
      <c r="E291">
        <v>1</v>
      </c>
      <c r="F291">
        <v>0.25</v>
      </c>
      <c r="G291">
        <v>1</v>
      </c>
    </row>
    <row r="292" spans="1:7" x14ac:dyDescent="0.25">
      <c r="A292" t="str">
        <f>HYPERLINK("./new_k5/query_cmdrels_weight_analyze/0.4_0.3_0.3/so_750604.xlsx","so_750604")</f>
        <v>so_750604</v>
      </c>
      <c r="B292">
        <v>0</v>
      </c>
      <c r="C292">
        <v>0</v>
      </c>
      <c r="D292">
        <v>0</v>
      </c>
      <c r="E292">
        <v>0.5</v>
      </c>
      <c r="F292">
        <v>0</v>
      </c>
      <c r="G292">
        <v>0.5</v>
      </c>
    </row>
    <row r="293" spans="1:7" x14ac:dyDescent="0.25">
      <c r="A293" t="str">
        <f>HYPERLINK("./new_k5/query_cmdrels_weight_analyze/0.4_0.3_0.3/so_7575267.xlsx","so_7575267")</f>
        <v>so_7575267</v>
      </c>
      <c r="B293">
        <v>0</v>
      </c>
      <c r="C293">
        <v>1</v>
      </c>
      <c r="D293">
        <v>0</v>
      </c>
      <c r="E293">
        <v>1</v>
      </c>
      <c r="F293">
        <v>0</v>
      </c>
      <c r="G293">
        <v>1</v>
      </c>
    </row>
    <row r="294" spans="1:7" x14ac:dyDescent="0.25">
      <c r="A294" t="str">
        <f>HYPERLINK("./new_k5/query_cmdrels_weight_analyze/0.4_0.3_0.3/so_7698488.xlsx","so_7698488")</f>
        <v>so_7698488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0.25</v>
      </c>
    </row>
    <row r="295" spans="1:7" x14ac:dyDescent="0.25">
      <c r="A295" t="str">
        <f>HYPERLINK("./new_k5/query_cmdrels_weight_analyze/0.4_0.3_0.3/so_801095.xlsx","so_801095")</f>
        <v>so_801095</v>
      </c>
      <c r="B295">
        <v>1</v>
      </c>
      <c r="C295">
        <v>1</v>
      </c>
      <c r="D295">
        <v>1</v>
      </c>
      <c r="E295">
        <v>1</v>
      </c>
      <c r="F295">
        <v>1</v>
      </c>
      <c r="G295">
        <v>1</v>
      </c>
    </row>
    <row r="296" spans="1:7" x14ac:dyDescent="0.25">
      <c r="A296" t="str">
        <f>HYPERLINK("./new_k5/query_cmdrels_weight_analyze/0.4_0.3_0.3/so_8249705.xlsx","so_8249705")</f>
        <v>so_8249705</v>
      </c>
      <c r="B296">
        <v>0</v>
      </c>
      <c r="C296">
        <v>1</v>
      </c>
      <c r="D296">
        <v>0.33333333333333298</v>
      </c>
      <c r="E296">
        <v>1</v>
      </c>
      <c r="F296">
        <v>0.33333333333333298</v>
      </c>
      <c r="G296">
        <v>1</v>
      </c>
    </row>
    <row r="297" spans="1:7" x14ac:dyDescent="0.25">
      <c r="A297" t="str">
        <f>HYPERLINK("./new_k5/query_cmdrels_weight_analyze/0.4_0.3_0.3/so_8423541.xlsx","so_8423541")</f>
        <v>so_8423541</v>
      </c>
      <c r="B297">
        <v>0</v>
      </c>
      <c r="C297">
        <v>1</v>
      </c>
      <c r="D297">
        <v>0.5</v>
      </c>
      <c r="E297">
        <v>1</v>
      </c>
      <c r="F297">
        <v>0.5</v>
      </c>
      <c r="G297">
        <v>1</v>
      </c>
    </row>
    <row r="298" spans="1:7" x14ac:dyDescent="0.25">
      <c r="A298" t="str">
        <f>HYPERLINK("./new_k5/query_cmdrels_weight_analyze/0.4_0.3_0.3/so_8654051.xlsx","so_8654051")</f>
        <v>so_8654051</v>
      </c>
      <c r="B298">
        <v>0</v>
      </c>
      <c r="C298">
        <v>1</v>
      </c>
      <c r="D298">
        <v>0</v>
      </c>
      <c r="E298">
        <v>1</v>
      </c>
      <c r="F298">
        <v>0</v>
      </c>
      <c r="G298">
        <v>1</v>
      </c>
    </row>
    <row r="299" spans="1:7" x14ac:dyDescent="0.25">
      <c r="A299" t="str">
        <f>HYPERLINK("./new_k5/query_cmdrels_weight_analyze/0.4_0.3_0.3/so_890262.xlsx","so_890262")</f>
        <v>so_890262</v>
      </c>
      <c r="B299">
        <v>1</v>
      </c>
      <c r="C299">
        <v>0</v>
      </c>
      <c r="D299">
        <v>1</v>
      </c>
      <c r="E299">
        <v>0.5</v>
      </c>
      <c r="F299">
        <v>1</v>
      </c>
      <c r="G299">
        <v>0.5</v>
      </c>
    </row>
    <row r="300" spans="1:7" x14ac:dyDescent="0.25">
      <c r="A300" t="str">
        <f>HYPERLINK("./new_k5/query_cmdrels_weight_analyze/0.4_0.3_0.3/so_893585.xlsx","so_893585")</f>
        <v>so_893585</v>
      </c>
      <c r="B300">
        <v>1</v>
      </c>
      <c r="C300">
        <v>1</v>
      </c>
      <c r="D300">
        <v>1</v>
      </c>
      <c r="E300">
        <v>1</v>
      </c>
      <c r="F300">
        <v>1</v>
      </c>
      <c r="G300">
        <v>1</v>
      </c>
    </row>
    <row r="301" spans="1:7" x14ac:dyDescent="0.25">
      <c r="A301" t="str">
        <f>HYPERLINK("./new_k5/query_cmdrels_weight_analyze/0.4_0.3_0.3/so_9223460.xlsx","so_9223460")</f>
        <v>so_9223460</v>
      </c>
      <c r="B301">
        <v>1</v>
      </c>
      <c r="C301">
        <v>0</v>
      </c>
      <c r="D301">
        <v>1</v>
      </c>
      <c r="E301">
        <v>0.5</v>
      </c>
      <c r="F301">
        <v>1</v>
      </c>
      <c r="G301">
        <v>0.5</v>
      </c>
    </row>
    <row r="302" spans="1:7" x14ac:dyDescent="0.25">
      <c r="A302" t="str">
        <f>HYPERLINK("./new_k5/query_cmdrels_weight_analyze/0.4_0.3_0.3/so_9245638.xlsx","so_9245638")</f>
        <v>so_9245638</v>
      </c>
      <c r="B302">
        <v>0</v>
      </c>
      <c r="C302">
        <v>1</v>
      </c>
      <c r="D302">
        <v>0</v>
      </c>
      <c r="E302">
        <v>1</v>
      </c>
      <c r="F302">
        <v>0.2</v>
      </c>
      <c r="G302">
        <v>1</v>
      </c>
    </row>
    <row r="303" spans="1:7" x14ac:dyDescent="0.25">
      <c r="A303" t="str">
        <f>HYPERLINK("./new_k5/query_cmdrels_weight_analyze/0.4_0.3_0.3/so_9304953.xlsx","so_9304953")</f>
        <v>so_9304953</v>
      </c>
      <c r="B303">
        <v>1</v>
      </c>
      <c r="C303">
        <v>1</v>
      </c>
      <c r="D303">
        <v>1</v>
      </c>
      <c r="E303">
        <v>1</v>
      </c>
      <c r="F303">
        <v>1</v>
      </c>
      <c r="G303">
        <v>1</v>
      </c>
    </row>
    <row r="304" spans="1:7" x14ac:dyDescent="0.25">
      <c r="A304" t="str">
        <f>HYPERLINK("./new_k5/query_cmdrels_weight_analyze/0.4_0.3_0.3/so_9361816.xlsx","so_9361816")</f>
        <v>so_9361816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</row>
    <row r="305" spans="1:7" x14ac:dyDescent="0.25">
      <c r="A305" t="str">
        <f>HYPERLINK("./new_k5/query_cmdrels_weight_analyze/0.4_0.3_0.3/su_116617.xlsx","su_116617")</f>
        <v>su_116617</v>
      </c>
      <c r="B305">
        <v>0</v>
      </c>
      <c r="C305">
        <v>1</v>
      </c>
      <c r="D305">
        <v>0.5</v>
      </c>
      <c r="E305">
        <v>1</v>
      </c>
      <c r="F305">
        <v>0.5</v>
      </c>
      <c r="G305">
        <v>1</v>
      </c>
    </row>
    <row r="306" spans="1:7" x14ac:dyDescent="0.25">
      <c r="A306" t="str">
        <f>HYPERLINK("./new_k5/query_cmdrels_weight_analyze/0.4_0.3_0.3/su_120045.xlsx","su_120045")</f>
        <v>su_120045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0.2</v>
      </c>
    </row>
    <row r="307" spans="1:7" x14ac:dyDescent="0.25">
      <c r="A307" t="str">
        <f>HYPERLINK("./new_k5/query_cmdrels_weight_analyze/0.4_0.3_0.3/su_127863.xlsx","su_127863")</f>
        <v>su_127863</v>
      </c>
      <c r="B307">
        <v>0</v>
      </c>
      <c r="C307">
        <v>0</v>
      </c>
      <c r="D307">
        <v>0</v>
      </c>
      <c r="E307">
        <v>0.5</v>
      </c>
      <c r="F307">
        <v>0</v>
      </c>
      <c r="G307">
        <v>0.5</v>
      </c>
    </row>
    <row r="308" spans="1:7" x14ac:dyDescent="0.25">
      <c r="A308" t="str">
        <f>HYPERLINK("./new_k5/query_cmdrels_weight_analyze/0.4_0.3_0.3/su_135498.xlsx","su_135498")</f>
        <v>su_135498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</row>
    <row r="309" spans="1:7" x14ac:dyDescent="0.25">
      <c r="A309" t="str">
        <f>HYPERLINK("./new_k5/query_cmdrels_weight_analyze/0.4_0.3_0.3/su_147027.xlsx","su_147027")</f>
        <v>su_147027</v>
      </c>
      <c r="B309">
        <v>0</v>
      </c>
      <c r="C309">
        <v>0</v>
      </c>
      <c r="D309">
        <v>0.5</v>
      </c>
      <c r="E309">
        <v>0</v>
      </c>
      <c r="F309">
        <v>0.5</v>
      </c>
      <c r="G309">
        <v>0</v>
      </c>
    </row>
    <row r="310" spans="1:7" x14ac:dyDescent="0.25">
      <c r="A310" t="str">
        <f>HYPERLINK("./new_k5/query_cmdrels_weight_analyze/0.4_0.3_0.3/su_151911.xlsx","su_151911")</f>
        <v>su_151911</v>
      </c>
      <c r="B310">
        <v>1</v>
      </c>
      <c r="C310">
        <v>0</v>
      </c>
      <c r="D310">
        <v>1</v>
      </c>
      <c r="E310">
        <v>0.33333333333333331</v>
      </c>
      <c r="F310">
        <v>1</v>
      </c>
      <c r="G310">
        <v>0.33333333333333331</v>
      </c>
    </row>
    <row r="311" spans="1:7" x14ac:dyDescent="0.25">
      <c r="A311" t="str">
        <f>HYPERLINK("./new_k5/query_cmdrels_weight_analyze/0.4_0.3_0.3/su_153415.xlsx","su_153415")</f>
        <v>su_153415</v>
      </c>
      <c r="B311">
        <v>0</v>
      </c>
      <c r="C311">
        <v>1</v>
      </c>
      <c r="D311">
        <v>0</v>
      </c>
      <c r="E311">
        <v>1</v>
      </c>
      <c r="F311">
        <v>0</v>
      </c>
      <c r="G311">
        <v>1</v>
      </c>
    </row>
    <row r="312" spans="1:7" x14ac:dyDescent="0.25">
      <c r="A312" t="str">
        <f>HYPERLINK("./new_k5/query_cmdrels_weight_analyze/0.4_0.3_0.3/su_156189.xlsx","su_156189")</f>
        <v>su_156189</v>
      </c>
      <c r="B312">
        <v>0</v>
      </c>
      <c r="C312">
        <v>1</v>
      </c>
      <c r="D312">
        <v>0</v>
      </c>
      <c r="E312">
        <v>1</v>
      </c>
      <c r="F312">
        <v>0</v>
      </c>
      <c r="G312">
        <v>1</v>
      </c>
    </row>
    <row r="313" spans="1:7" x14ac:dyDescent="0.25">
      <c r="A313" t="str">
        <f>HYPERLINK("./new_k5/query_cmdrels_weight_analyze/0.4_0.3_0.3/su_161531.xlsx","su_161531")</f>
        <v>su_161531</v>
      </c>
      <c r="B313">
        <v>1</v>
      </c>
      <c r="C313">
        <v>1</v>
      </c>
      <c r="D313">
        <v>1</v>
      </c>
      <c r="E313">
        <v>1</v>
      </c>
      <c r="F313">
        <v>1</v>
      </c>
      <c r="G313">
        <v>1</v>
      </c>
    </row>
    <row r="314" spans="1:7" x14ac:dyDescent="0.25">
      <c r="A314" t="str">
        <f>HYPERLINK("./new_k5/query_cmdrels_weight_analyze/0.4_0.3_0.3/su_204209.xlsx","su_204209")</f>
        <v>su_204209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</row>
    <row r="315" spans="1:7" x14ac:dyDescent="0.25">
      <c r="A315" t="str">
        <f>HYPERLINK("./new_k5/query_cmdrels_weight_analyze/0.4_0.3_0.3/su_214390.xlsx","su_214390")</f>
        <v>su_214390</v>
      </c>
      <c r="B315">
        <v>1</v>
      </c>
      <c r="C315">
        <v>0</v>
      </c>
      <c r="D315">
        <v>1</v>
      </c>
      <c r="E315">
        <v>0.5</v>
      </c>
      <c r="F315">
        <v>1</v>
      </c>
      <c r="G315">
        <v>0.5</v>
      </c>
    </row>
    <row r="316" spans="1:7" x14ac:dyDescent="0.25">
      <c r="A316" t="str">
        <f>HYPERLINK("./new_k5/query_cmdrels_weight_analyze/0.4_0.3_0.3/su_215483.xlsx","su_215483")</f>
        <v>su_215483</v>
      </c>
      <c r="B316">
        <v>0</v>
      </c>
      <c r="C316">
        <v>1</v>
      </c>
      <c r="D316">
        <v>0.5</v>
      </c>
      <c r="E316">
        <v>1</v>
      </c>
      <c r="F316">
        <v>0.5</v>
      </c>
      <c r="G316">
        <v>1</v>
      </c>
    </row>
    <row r="317" spans="1:7" x14ac:dyDescent="0.25">
      <c r="A317" t="str">
        <f>HYPERLINK("./new_k5/query_cmdrels_weight_analyze/0.4_0.3_0.3/su_215504.xlsx","su_215504")</f>
        <v>su_215504</v>
      </c>
      <c r="B317">
        <v>0</v>
      </c>
      <c r="C317">
        <v>0</v>
      </c>
      <c r="D317">
        <v>0.5</v>
      </c>
      <c r="E317">
        <v>0.5</v>
      </c>
      <c r="F317">
        <v>0.5</v>
      </c>
      <c r="G317">
        <v>0.5</v>
      </c>
    </row>
    <row r="318" spans="1:7" x14ac:dyDescent="0.25">
      <c r="A318" t="str">
        <f>HYPERLINK("./new_k5/query_cmdrels_weight_analyze/0.4_0.3_0.3/su_227385.xlsx","su_227385")</f>
        <v>su_227385</v>
      </c>
      <c r="B318">
        <v>0</v>
      </c>
      <c r="C318">
        <v>0</v>
      </c>
      <c r="D318">
        <v>0.33333333333333298</v>
      </c>
      <c r="E318">
        <v>0.5</v>
      </c>
      <c r="F318">
        <v>0.33333333333333298</v>
      </c>
      <c r="G318">
        <v>0.5</v>
      </c>
    </row>
    <row r="319" spans="1:7" x14ac:dyDescent="0.25">
      <c r="A319" t="str">
        <f>HYPERLINK("./new_k5/query_cmdrels_weight_analyze/0.4_0.3_0.3/su_273254.xlsx","su_273254")</f>
        <v>su_273254</v>
      </c>
      <c r="B319">
        <v>1</v>
      </c>
      <c r="C319">
        <v>1</v>
      </c>
      <c r="D319">
        <v>1</v>
      </c>
      <c r="E319">
        <v>1</v>
      </c>
      <c r="F319">
        <v>1</v>
      </c>
      <c r="G319">
        <v>1</v>
      </c>
    </row>
    <row r="320" spans="1:7" x14ac:dyDescent="0.25">
      <c r="A320" t="str">
        <f>HYPERLINK("./new_k5/query_cmdrels_weight_analyze/0.4_0.3_0.3/su_294161.xlsx","su_294161")</f>
        <v>su_294161</v>
      </c>
      <c r="B320">
        <v>1</v>
      </c>
      <c r="C320">
        <v>1</v>
      </c>
      <c r="D320">
        <v>1</v>
      </c>
      <c r="E320">
        <v>1</v>
      </c>
      <c r="F320">
        <v>1</v>
      </c>
      <c r="G320">
        <v>1</v>
      </c>
    </row>
    <row r="321" spans="1:7" x14ac:dyDescent="0.25">
      <c r="A321" t="str">
        <f>HYPERLINK("./new_k5/query_cmdrels_weight_analyze/0.4_0.3_0.3/su_302396.xlsx","su_302396")</f>
        <v>su_302396</v>
      </c>
      <c r="B321">
        <v>1</v>
      </c>
      <c r="C321">
        <v>1</v>
      </c>
      <c r="D321">
        <v>1</v>
      </c>
      <c r="E321">
        <v>1</v>
      </c>
      <c r="F321">
        <v>1</v>
      </c>
      <c r="G321">
        <v>1</v>
      </c>
    </row>
    <row r="322" spans="1:7" x14ac:dyDescent="0.25">
      <c r="A322" t="str">
        <f>HYPERLINK("./new_k5/query_cmdrels_weight_analyze/0.4_0.3_0.3/su_303981.xlsx","su_303981")</f>
        <v>su_303981</v>
      </c>
      <c r="B322">
        <v>0</v>
      </c>
      <c r="C322">
        <v>1</v>
      </c>
      <c r="D322">
        <v>0</v>
      </c>
      <c r="E322">
        <v>1</v>
      </c>
      <c r="F322">
        <v>0</v>
      </c>
      <c r="G322">
        <v>1</v>
      </c>
    </row>
    <row r="323" spans="1:7" x14ac:dyDescent="0.25">
      <c r="A323" t="str">
        <f>HYPERLINK("./new_k5/query_cmdrels_weight_analyze/0.4_0.3_0.3/su_305128.xlsx","su_305128")</f>
        <v>su_305128</v>
      </c>
      <c r="B323">
        <v>1</v>
      </c>
      <c r="C323">
        <v>1</v>
      </c>
      <c r="D323">
        <v>1</v>
      </c>
      <c r="E323">
        <v>1</v>
      </c>
      <c r="F323">
        <v>1</v>
      </c>
      <c r="G323">
        <v>1</v>
      </c>
    </row>
    <row r="324" spans="1:7" x14ac:dyDescent="0.25">
      <c r="A324" t="str">
        <f>HYPERLINK("./new_k5/query_cmdrels_weight_analyze/0.4_0.3_0.3/su_31512.xlsx","su_31512")</f>
        <v>su_31512</v>
      </c>
      <c r="B324">
        <v>1</v>
      </c>
      <c r="C324">
        <v>1</v>
      </c>
      <c r="D324">
        <v>1</v>
      </c>
      <c r="E324">
        <v>1</v>
      </c>
      <c r="F324">
        <v>1</v>
      </c>
      <c r="G324">
        <v>1</v>
      </c>
    </row>
    <row r="325" spans="1:7" x14ac:dyDescent="0.25">
      <c r="A325" t="str">
        <f>HYPERLINK("./new_k5/query_cmdrels_weight_analyze/0.4_0.3_0.3/su_380520.xlsx","su_380520")</f>
        <v>su_380520</v>
      </c>
      <c r="B325">
        <v>0</v>
      </c>
      <c r="C325">
        <v>0</v>
      </c>
      <c r="D325">
        <v>0</v>
      </c>
      <c r="E325">
        <v>0.5</v>
      </c>
      <c r="F325">
        <v>0</v>
      </c>
      <c r="G325">
        <v>0.5</v>
      </c>
    </row>
    <row r="326" spans="1:7" x14ac:dyDescent="0.25">
      <c r="A326" t="str">
        <f>HYPERLINK("./new_k5/query_cmdrels_weight_analyze/0.4_0.3_0.3/su_38981.xlsx","su_38981")</f>
        <v>su_38981</v>
      </c>
      <c r="B326">
        <v>1</v>
      </c>
      <c r="C326">
        <v>1</v>
      </c>
      <c r="D326">
        <v>1</v>
      </c>
      <c r="E326">
        <v>1</v>
      </c>
      <c r="F326">
        <v>1</v>
      </c>
      <c r="G326">
        <v>1</v>
      </c>
    </row>
    <row r="327" spans="1:7" x14ac:dyDescent="0.25">
      <c r="A327" t="str">
        <f>HYPERLINK("./new_k5/query_cmdrels_weight_analyze/0.4_0.3_0.3/su_437330.xlsx","su_437330")</f>
        <v>su_437330</v>
      </c>
      <c r="B327">
        <v>0</v>
      </c>
      <c r="C327">
        <v>1</v>
      </c>
      <c r="D327">
        <v>0</v>
      </c>
      <c r="E327">
        <v>1</v>
      </c>
      <c r="F327">
        <v>0</v>
      </c>
      <c r="G327">
        <v>1</v>
      </c>
    </row>
    <row r="328" spans="1:7" x14ac:dyDescent="0.25">
      <c r="A328" t="str">
        <f>HYPERLINK("./new_k5/query_cmdrels_weight_analyze/0.4_0.3_0.3/su_441379.xlsx","su_441379")</f>
        <v>su_441379</v>
      </c>
      <c r="B328">
        <v>0</v>
      </c>
      <c r="C328">
        <v>1</v>
      </c>
      <c r="D328">
        <v>0.33333333333333298</v>
      </c>
      <c r="E328">
        <v>1</v>
      </c>
      <c r="F328">
        <v>0.33333333333333298</v>
      </c>
      <c r="G328">
        <v>1</v>
      </c>
    </row>
    <row r="329" spans="1:7" x14ac:dyDescent="0.25">
      <c r="A329" t="str">
        <f>HYPERLINK("./new_k5/query_cmdrels_weight_analyze/0.4_0.3_0.3/su_462788.xlsx","su_462788")</f>
        <v>su_462788</v>
      </c>
      <c r="B329">
        <v>1</v>
      </c>
      <c r="C329">
        <v>1</v>
      </c>
      <c r="D329">
        <v>1</v>
      </c>
      <c r="E329">
        <v>1</v>
      </c>
      <c r="F329">
        <v>1</v>
      </c>
      <c r="G329">
        <v>1</v>
      </c>
    </row>
    <row r="330" spans="1:7" x14ac:dyDescent="0.25">
      <c r="A330" t="str">
        <f>HYPERLINK("./new_k5/query_cmdrels_weight_analyze/0.4_0.3_0.3/su_626606.xlsx","su_626606")</f>
        <v>su_626606</v>
      </c>
      <c r="B330">
        <v>0</v>
      </c>
      <c r="C330">
        <v>1</v>
      </c>
      <c r="D330">
        <v>0</v>
      </c>
      <c r="E330">
        <v>1</v>
      </c>
      <c r="F330">
        <v>0.2</v>
      </c>
      <c r="G330">
        <v>1</v>
      </c>
    </row>
    <row r="331" spans="1:7" x14ac:dyDescent="0.25">
      <c r="A331" t="str">
        <f>HYPERLINK("./new_k5/query_cmdrels_weight_analyze/0.4_0.3_0.3/su_634469.xlsx","su_634469")</f>
        <v>su_634469</v>
      </c>
      <c r="B331">
        <v>0</v>
      </c>
      <c r="C331">
        <v>1</v>
      </c>
      <c r="D331">
        <v>0</v>
      </c>
      <c r="E331">
        <v>1</v>
      </c>
      <c r="F331">
        <v>0</v>
      </c>
      <c r="G331">
        <v>1</v>
      </c>
    </row>
    <row r="332" spans="1:7" x14ac:dyDescent="0.25">
      <c r="A332" t="str">
        <f>HYPERLINK("./new_k5/query_cmdrels_weight_analyze/0.4_0.3_0.3/su_638616.xlsx","su_638616")</f>
        <v>su_638616</v>
      </c>
      <c r="B332">
        <v>0</v>
      </c>
      <c r="C332">
        <v>1</v>
      </c>
      <c r="D332">
        <v>0</v>
      </c>
      <c r="E332">
        <v>1</v>
      </c>
      <c r="F332">
        <v>0.25</v>
      </c>
      <c r="G332">
        <v>1</v>
      </c>
    </row>
    <row r="333" spans="1:7" x14ac:dyDescent="0.25">
      <c r="A333" t="str">
        <f>HYPERLINK("./new_k5/query_cmdrels_weight_analyze/0.4_0.3_0.3/su_678113.xlsx","su_678113")</f>
        <v>su_678113</v>
      </c>
      <c r="B333">
        <v>0</v>
      </c>
      <c r="C333">
        <v>1</v>
      </c>
      <c r="D333">
        <v>0.5</v>
      </c>
      <c r="E333">
        <v>1</v>
      </c>
      <c r="F333">
        <v>0.5</v>
      </c>
      <c r="G333">
        <v>1</v>
      </c>
    </row>
    <row r="334" spans="1:7" x14ac:dyDescent="0.25">
      <c r="A334" t="str">
        <f>HYPERLINK("./new_k5/query_cmdrels_weight_analyze/0.4_0.3_0.3/su_686394.xlsx","su_686394")</f>
        <v>su_686394</v>
      </c>
      <c r="B334">
        <v>0</v>
      </c>
      <c r="C334">
        <v>1</v>
      </c>
      <c r="D334">
        <v>0.5</v>
      </c>
      <c r="E334">
        <v>1</v>
      </c>
      <c r="F334">
        <v>0.5</v>
      </c>
      <c r="G334">
        <v>1</v>
      </c>
    </row>
    <row r="335" spans="1:7" x14ac:dyDescent="0.25">
      <c r="A335" t="str">
        <f>HYPERLINK("./new_k5/query_cmdrels_weight_analyze/0.4_0.3_0.3/su_716795.xlsx","su_716795")</f>
        <v>su_716795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0.25</v>
      </c>
    </row>
    <row r="336" spans="1:7" x14ac:dyDescent="0.25">
      <c r="A336" t="str">
        <f>HYPERLINK("./new_k5/query_cmdrels_weight_analyze/0.4_0.3_0.3/su_758463.xlsx","su_758463")</f>
        <v>su_758463</v>
      </c>
      <c r="B336">
        <v>0</v>
      </c>
      <c r="C336">
        <v>1</v>
      </c>
      <c r="D336">
        <v>0</v>
      </c>
      <c r="E336">
        <v>1</v>
      </c>
      <c r="F336">
        <v>0</v>
      </c>
      <c r="G336">
        <v>1</v>
      </c>
    </row>
    <row r="337" spans="1:7" x14ac:dyDescent="0.25">
      <c r="A337" t="str">
        <f>HYPERLINK("./new_k5/query_cmdrels_weight_analyze/0.4_0.3_0.3/su_766437.xlsx","su_766437")</f>
        <v>su_766437</v>
      </c>
      <c r="B337">
        <v>0</v>
      </c>
      <c r="C337">
        <v>0</v>
      </c>
      <c r="D337">
        <v>0</v>
      </c>
      <c r="E337">
        <v>0.33333333333333331</v>
      </c>
      <c r="F337">
        <v>0</v>
      </c>
      <c r="G337">
        <v>0.33333333333333331</v>
      </c>
    </row>
    <row r="338" spans="1:7" x14ac:dyDescent="0.25">
      <c r="A338" t="str">
        <f>HYPERLINK("./new_k5/query_cmdrels_weight_analyze/0.4_0.3_0.3/su_904001.xlsx","su_904001")</f>
        <v>su_904001</v>
      </c>
      <c r="B338">
        <v>0</v>
      </c>
      <c r="C338">
        <v>0</v>
      </c>
      <c r="D338">
        <v>0</v>
      </c>
      <c r="E338">
        <v>0.5</v>
      </c>
      <c r="F338">
        <v>0</v>
      </c>
      <c r="G338">
        <v>0.5</v>
      </c>
    </row>
    <row r="339" spans="1:7" x14ac:dyDescent="0.25">
      <c r="A339" t="str">
        <f>HYPERLINK("./new_k5/query_cmdrels_weight_analyze/0.4_0.3_0.3/ul_100959.xlsx","ul_100959")</f>
        <v>ul_100959</v>
      </c>
      <c r="B339">
        <v>0</v>
      </c>
      <c r="C339">
        <v>0</v>
      </c>
      <c r="D339">
        <v>0.5</v>
      </c>
      <c r="E339">
        <v>0.5</v>
      </c>
      <c r="F339">
        <v>0.5</v>
      </c>
      <c r="G339">
        <v>0.5</v>
      </c>
    </row>
    <row r="340" spans="1:7" x14ac:dyDescent="0.25">
      <c r="A340" t="str">
        <f>HYPERLINK("./new_k5/query_cmdrels_weight_analyze/0.4_0.3_0.3/ul_101073.xlsx","ul_101073")</f>
        <v>ul_101073</v>
      </c>
      <c r="B340">
        <v>0</v>
      </c>
      <c r="C340">
        <v>0</v>
      </c>
      <c r="D340">
        <v>0.5</v>
      </c>
      <c r="E340">
        <v>0.33333333333333331</v>
      </c>
      <c r="F340">
        <v>0.5</v>
      </c>
      <c r="G340">
        <v>0.33333333333333331</v>
      </c>
    </row>
    <row r="341" spans="1:7" x14ac:dyDescent="0.25">
      <c r="A341" t="str">
        <f>HYPERLINK("./new_k5/query_cmdrels_weight_analyze/0.4_0.3_0.3/ul_101237.xlsx","ul_101237")</f>
        <v>ul_101237</v>
      </c>
      <c r="B341">
        <v>0</v>
      </c>
      <c r="C341">
        <v>1</v>
      </c>
      <c r="D341">
        <v>0</v>
      </c>
      <c r="E341">
        <v>1</v>
      </c>
      <c r="F341">
        <v>0</v>
      </c>
      <c r="G341">
        <v>1</v>
      </c>
    </row>
    <row r="342" spans="1:7" x14ac:dyDescent="0.25">
      <c r="A342" t="str">
        <f>HYPERLINK("./new_k5/query_cmdrels_weight_analyze/0.4_0.3_0.3/ul_102752.xlsx","ul_102752")</f>
        <v>ul_102752</v>
      </c>
      <c r="B342">
        <v>1</v>
      </c>
      <c r="C342">
        <v>1</v>
      </c>
      <c r="D342">
        <v>1</v>
      </c>
      <c r="E342">
        <v>1</v>
      </c>
      <c r="F342">
        <v>1</v>
      </c>
      <c r="G342">
        <v>1</v>
      </c>
    </row>
    <row r="343" spans="1:7" x14ac:dyDescent="0.25">
      <c r="A343" t="str">
        <f>HYPERLINK("./new_k5/query_cmdrels_weight_analyze/0.4_0.3_0.3/ul_108174.xlsx","ul_108174")</f>
        <v>ul_108174</v>
      </c>
      <c r="B343">
        <v>0</v>
      </c>
      <c r="C343">
        <v>0</v>
      </c>
      <c r="D343">
        <v>0</v>
      </c>
      <c r="E343">
        <v>0.33333333333333331</v>
      </c>
      <c r="F343">
        <v>0</v>
      </c>
      <c r="G343">
        <v>0.33333333333333331</v>
      </c>
    </row>
    <row r="344" spans="1:7" x14ac:dyDescent="0.25">
      <c r="A344" t="str">
        <f>HYPERLINK("./new_k5/query_cmdrels_weight_analyze/0.4_0.3_0.3/ul_109536.xlsx","ul_109536")</f>
        <v>ul_109536</v>
      </c>
      <c r="B344">
        <v>0</v>
      </c>
      <c r="C344">
        <v>0</v>
      </c>
      <c r="D344">
        <v>0.5</v>
      </c>
      <c r="E344">
        <v>0</v>
      </c>
      <c r="F344">
        <v>0.5</v>
      </c>
      <c r="G344">
        <v>0</v>
      </c>
    </row>
    <row r="345" spans="1:7" x14ac:dyDescent="0.25">
      <c r="A345" t="str">
        <f>HYPERLINK("./new_k5/query_cmdrels_weight_analyze/0.4_0.3_0.3/ul_112050.xlsx","ul_112050")</f>
        <v>ul_112050</v>
      </c>
      <c r="B345">
        <v>0</v>
      </c>
      <c r="C345">
        <v>1</v>
      </c>
      <c r="D345">
        <v>0</v>
      </c>
      <c r="E345">
        <v>1</v>
      </c>
      <c r="F345">
        <v>0.25</v>
      </c>
      <c r="G345">
        <v>1</v>
      </c>
    </row>
    <row r="346" spans="1:7" x14ac:dyDescent="0.25">
      <c r="A346" t="str">
        <f>HYPERLINK("./new_k5/query_cmdrels_weight_analyze/0.4_0.3_0.3/ul_116070.xlsx","ul_116070")</f>
        <v>ul_116070</v>
      </c>
      <c r="B346">
        <v>1</v>
      </c>
      <c r="C346">
        <v>1</v>
      </c>
      <c r="D346">
        <v>1</v>
      </c>
      <c r="E346">
        <v>1</v>
      </c>
      <c r="F346">
        <v>1</v>
      </c>
      <c r="G346">
        <v>1</v>
      </c>
    </row>
    <row r="347" spans="1:7" x14ac:dyDescent="0.25">
      <c r="A347" t="str">
        <f>HYPERLINK("./new_k5/query_cmdrels_weight_analyze/0.4_0.3_0.3/ul_11851.xlsx","ul_11851")</f>
        <v>ul_11851</v>
      </c>
      <c r="B347">
        <v>0</v>
      </c>
      <c r="C347">
        <v>1</v>
      </c>
      <c r="D347">
        <v>0</v>
      </c>
      <c r="E347">
        <v>1</v>
      </c>
      <c r="F347">
        <v>0</v>
      </c>
      <c r="G347">
        <v>1</v>
      </c>
    </row>
    <row r="348" spans="1:7" x14ac:dyDescent="0.25">
      <c r="A348" t="str">
        <f>HYPERLINK("./new_k5/query_cmdrels_weight_analyze/0.4_0.3_0.3/ul_119126.xlsx","ul_119126")</f>
        <v>ul_119126</v>
      </c>
      <c r="B348">
        <v>1</v>
      </c>
      <c r="C348">
        <v>1</v>
      </c>
      <c r="D348">
        <v>1</v>
      </c>
      <c r="E348">
        <v>1</v>
      </c>
      <c r="F348">
        <v>1</v>
      </c>
      <c r="G348">
        <v>1</v>
      </c>
    </row>
    <row r="349" spans="1:7" x14ac:dyDescent="0.25">
      <c r="A349" t="str">
        <f>HYPERLINK("./new_k5/query_cmdrels_weight_analyze/0.4_0.3_0.3/ul_121718.xlsx","ul_121718")</f>
        <v>ul_121718</v>
      </c>
      <c r="B349">
        <v>0</v>
      </c>
      <c r="C349">
        <v>1</v>
      </c>
      <c r="D349">
        <v>0.5</v>
      </c>
      <c r="E349">
        <v>1</v>
      </c>
      <c r="F349">
        <v>0.5</v>
      </c>
      <c r="G349">
        <v>1</v>
      </c>
    </row>
    <row r="350" spans="1:7" x14ac:dyDescent="0.25">
      <c r="A350" t="str">
        <f>HYPERLINK("./new_k5/query_cmdrels_weight_analyze/0.4_0.3_0.3/ul_12227.xlsx","ul_12227")</f>
        <v>ul_12227</v>
      </c>
      <c r="B350">
        <v>0</v>
      </c>
      <c r="C350">
        <v>1</v>
      </c>
      <c r="D350">
        <v>0.33333333333333298</v>
      </c>
      <c r="E350">
        <v>1</v>
      </c>
      <c r="F350">
        <v>0.33333333333333298</v>
      </c>
      <c r="G350">
        <v>1</v>
      </c>
    </row>
    <row r="351" spans="1:7" x14ac:dyDescent="0.25">
      <c r="A351" t="str">
        <f>HYPERLINK("./new_k5/query_cmdrels_weight_analyze/0.4_0.3_0.3/ul_12453.xlsx","ul_12453")</f>
        <v>ul_12453</v>
      </c>
      <c r="B351">
        <v>0</v>
      </c>
      <c r="C351">
        <v>1</v>
      </c>
      <c r="D351">
        <v>0</v>
      </c>
      <c r="E351">
        <v>1</v>
      </c>
      <c r="F351">
        <v>0</v>
      </c>
      <c r="G351">
        <v>1</v>
      </c>
    </row>
    <row r="352" spans="1:7" x14ac:dyDescent="0.25">
      <c r="A352" t="str">
        <f>HYPERLINK("./new_k5/query_cmdrels_weight_analyze/0.4_0.3_0.3/ul_12535.xlsx","ul_12535")</f>
        <v>ul_12535</v>
      </c>
      <c r="B352">
        <v>0</v>
      </c>
      <c r="C352">
        <v>0</v>
      </c>
      <c r="D352">
        <v>0</v>
      </c>
      <c r="E352">
        <v>0.33333333333333331</v>
      </c>
      <c r="F352">
        <v>0.25</v>
      </c>
      <c r="G352">
        <v>0.33333333333333331</v>
      </c>
    </row>
    <row r="353" spans="1:7" x14ac:dyDescent="0.25">
      <c r="A353" t="str">
        <f>HYPERLINK("./new_k5/query_cmdrels_weight_analyze/0.4_0.3_0.3/ul_127066.xlsx","ul_127066")</f>
        <v>ul_127066</v>
      </c>
      <c r="B353">
        <v>1</v>
      </c>
      <c r="C353">
        <v>1</v>
      </c>
      <c r="D353">
        <v>1</v>
      </c>
      <c r="E353">
        <v>1</v>
      </c>
      <c r="F353">
        <v>1</v>
      </c>
      <c r="G353">
        <v>1</v>
      </c>
    </row>
    <row r="354" spans="1:7" x14ac:dyDescent="0.25">
      <c r="A354" t="str">
        <f>HYPERLINK("./new_k5/query_cmdrels_weight_analyze/0.4_0.3_0.3/ul_128953.xlsx","ul_128953")</f>
        <v>ul_128953</v>
      </c>
      <c r="B354">
        <v>0</v>
      </c>
      <c r="C354">
        <v>1</v>
      </c>
      <c r="D354">
        <v>0</v>
      </c>
      <c r="E354">
        <v>1</v>
      </c>
      <c r="F354">
        <v>0.2</v>
      </c>
      <c r="G354">
        <v>1</v>
      </c>
    </row>
    <row r="355" spans="1:7" x14ac:dyDescent="0.25">
      <c r="A355" t="str">
        <f>HYPERLINK("./new_k5/query_cmdrels_weight_analyze/0.4_0.3_0.3/ul_134829.xlsx","ul_134829")</f>
        <v>ul_134829</v>
      </c>
      <c r="B355">
        <v>0</v>
      </c>
      <c r="C355">
        <v>1</v>
      </c>
      <c r="D355">
        <v>0</v>
      </c>
      <c r="E355">
        <v>1</v>
      </c>
      <c r="F355">
        <v>0.2</v>
      </c>
      <c r="G355">
        <v>1</v>
      </c>
    </row>
    <row r="356" spans="1:7" x14ac:dyDescent="0.25">
      <c r="A356" t="str">
        <f>HYPERLINK("./new_k5/query_cmdrels_weight_analyze/0.4_0.3_0.3/ul_136371.xlsx","ul_136371")</f>
        <v>ul_136371</v>
      </c>
      <c r="B356">
        <v>1</v>
      </c>
      <c r="C356">
        <v>0</v>
      </c>
      <c r="D356">
        <v>1</v>
      </c>
      <c r="E356">
        <v>0.5</v>
      </c>
      <c r="F356">
        <v>1</v>
      </c>
      <c r="G356">
        <v>0.5</v>
      </c>
    </row>
    <row r="357" spans="1:7" x14ac:dyDescent="0.25">
      <c r="A357" t="str">
        <f>HYPERLINK("./new_k5/query_cmdrels_weight_analyze/0.4_0.3_0.3/ul_136884.xlsx","ul_136884")</f>
        <v>ul_136884</v>
      </c>
      <c r="B357">
        <v>0</v>
      </c>
      <c r="C357">
        <v>0</v>
      </c>
      <c r="D357">
        <v>0</v>
      </c>
      <c r="E357">
        <v>0</v>
      </c>
      <c r="F357">
        <v>0.25</v>
      </c>
      <c r="G357">
        <v>0.25</v>
      </c>
    </row>
    <row r="358" spans="1:7" x14ac:dyDescent="0.25">
      <c r="A358" t="str">
        <f>HYPERLINK("./new_k5/query_cmdrels_weight_analyze/0.4_0.3_0.3/ul_138398.xlsx","ul_138398")</f>
        <v>ul_138398</v>
      </c>
      <c r="B358">
        <v>0</v>
      </c>
      <c r="C358">
        <v>0</v>
      </c>
      <c r="D358">
        <v>0.33333333333333298</v>
      </c>
      <c r="E358">
        <v>0</v>
      </c>
      <c r="F358">
        <v>0.33333333333333298</v>
      </c>
      <c r="G358">
        <v>0</v>
      </c>
    </row>
    <row r="359" spans="1:7" x14ac:dyDescent="0.25">
      <c r="A359" t="str">
        <f>HYPERLINK("./new_k5/query_cmdrels_weight_analyze/0.4_0.3_0.3/ul_139271.xlsx","ul_139271")</f>
        <v>ul_139271</v>
      </c>
      <c r="B359">
        <v>0</v>
      </c>
      <c r="C359">
        <v>1</v>
      </c>
      <c r="D359">
        <v>0</v>
      </c>
      <c r="E359">
        <v>1</v>
      </c>
      <c r="F359">
        <v>0</v>
      </c>
      <c r="G359">
        <v>1</v>
      </c>
    </row>
    <row r="360" spans="1:7" x14ac:dyDescent="0.25">
      <c r="A360" t="str">
        <f>HYPERLINK("./new_k5/query_cmdrels_weight_analyze/0.4_0.3_0.3/ul_140482.xlsx","ul_140482")</f>
        <v>ul_140482</v>
      </c>
      <c r="B360">
        <v>0</v>
      </c>
      <c r="C360">
        <v>1</v>
      </c>
      <c r="D360">
        <v>0</v>
      </c>
      <c r="E360">
        <v>1</v>
      </c>
      <c r="F360">
        <v>0</v>
      </c>
      <c r="G360">
        <v>1</v>
      </c>
    </row>
    <row r="361" spans="1:7" x14ac:dyDescent="0.25">
      <c r="A361" t="str">
        <f>HYPERLINK("./new_k5/query_cmdrels_weight_analyze/0.4_0.3_0.3/ul_14191.xlsx","ul_14191")</f>
        <v>ul_14191</v>
      </c>
      <c r="B361">
        <v>0</v>
      </c>
      <c r="C361">
        <v>0</v>
      </c>
      <c r="D361">
        <v>0</v>
      </c>
      <c r="E361">
        <v>0.33333333333333331</v>
      </c>
      <c r="F361">
        <v>0</v>
      </c>
      <c r="G361">
        <v>0.33333333333333331</v>
      </c>
    </row>
    <row r="362" spans="1:7" x14ac:dyDescent="0.25">
      <c r="A362" t="str">
        <f>HYPERLINK("./new_k5/query_cmdrels_weight_analyze/0.4_0.3_0.3/ul_145929.xlsx","ul_145929")</f>
        <v>ul_145929</v>
      </c>
      <c r="B362">
        <v>0</v>
      </c>
      <c r="C362">
        <v>0</v>
      </c>
      <c r="D362">
        <v>0</v>
      </c>
      <c r="E362">
        <v>0.5</v>
      </c>
      <c r="F362">
        <v>0</v>
      </c>
      <c r="G362">
        <v>0.5</v>
      </c>
    </row>
    <row r="363" spans="1:7" x14ac:dyDescent="0.25">
      <c r="A363" t="str">
        <f>HYPERLINK("./new_k5/query_cmdrels_weight_analyze/0.4_0.3_0.3/ul_148985.xlsx","ul_148985")</f>
        <v>ul_148985</v>
      </c>
      <c r="B363">
        <v>0</v>
      </c>
      <c r="C363">
        <v>1</v>
      </c>
      <c r="D363">
        <v>0.33333333333333298</v>
      </c>
      <c r="E363">
        <v>1</v>
      </c>
      <c r="F363">
        <v>0.33333333333333298</v>
      </c>
      <c r="G363">
        <v>1</v>
      </c>
    </row>
    <row r="364" spans="1:7" x14ac:dyDescent="0.25">
      <c r="A364" t="str">
        <f>HYPERLINK("./new_k5/query_cmdrels_weight_analyze/0.4_0.3_0.3/ul_15405.xlsx","ul_15405")</f>
        <v>ul_15405</v>
      </c>
      <c r="B364">
        <v>0</v>
      </c>
      <c r="C364">
        <v>1</v>
      </c>
      <c r="D364">
        <v>0.5</v>
      </c>
      <c r="E364">
        <v>1</v>
      </c>
      <c r="F364">
        <v>0.5</v>
      </c>
      <c r="G364">
        <v>1</v>
      </c>
    </row>
    <row r="365" spans="1:7" x14ac:dyDescent="0.25">
      <c r="A365" t="str">
        <f>HYPERLINK("./new_k5/query_cmdrels_weight_analyze/0.4_0.3_0.3/ul_155551.xlsx","ul_155551")</f>
        <v>ul_155551</v>
      </c>
      <c r="B365">
        <v>0</v>
      </c>
      <c r="C365">
        <v>1</v>
      </c>
      <c r="D365">
        <v>0</v>
      </c>
      <c r="E365">
        <v>1</v>
      </c>
      <c r="F365">
        <v>0</v>
      </c>
      <c r="G365">
        <v>1</v>
      </c>
    </row>
    <row r="366" spans="1:7" x14ac:dyDescent="0.25">
      <c r="A366" t="str">
        <f>HYPERLINK("./new_k5/query_cmdrels_weight_analyze/0.4_0.3_0.3/ul_159672.xlsx","ul_159672")</f>
        <v>ul_159672</v>
      </c>
      <c r="B366">
        <v>1</v>
      </c>
      <c r="C366">
        <v>1</v>
      </c>
      <c r="D366">
        <v>1</v>
      </c>
      <c r="E366">
        <v>1</v>
      </c>
      <c r="F366">
        <v>1</v>
      </c>
      <c r="G366">
        <v>1</v>
      </c>
    </row>
    <row r="367" spans="1:7" x14ac:dyDescent="0.25">
      <c r="A367" t="str">
        <f>HYPERLINK("./new_k5/query_cmdrels_weight_analyze/0.4_0.3_0.3/ul_163845.xlsx","ul_163845")</f>
        <v>ul_163845</v>
      </c>
      <c r="B367">
        <v>1</v>
      </c>
      <c r="C367">
        <v>0</v>
      </c>
      <c r="D367">
        <v>1</v>
      </c>
      <c r="E367">
        <v>0.5</v>
      </c>
      <c r="F367">
        <v>1</v>
      </c>
      <c r="G367">
        <v>0.5</v>
      </c>
    </row>
    <row r="368" spans="1:7" x14ac:dyDescent="0.25">
      <c r="A368" t="str">
        <f>HYPERLINK("./new_k5/query_cmdrels_weight_analyze/0.4_0.3_0.3/ul_16407.xlsx","ul_16407")</f>
        <v>ul_16407</v>
      </c>
      <c r="B368">
        <v>0</v>
      </c>
      <c r="C368">
        <v>1</v>
      </c>
      <c r="D368">
        <v>0</v>
      </c>
      <c r="E368">
        <v>1</v>
      </c>
      <c r="F368">
        <v>0</v>
      </c>
      <c r="G368">
        <v>1</v>
      </c>
    </row>
    <row r="369" spans="1:7" x14ac:dyDescent="0.25">
      <c r="A369" t="str">
        <f>HYPERLINK("./new_k5/query_cmdrels_weight_analyze/0.4_0.3_0.3/ul_166558.xlsx","ul_166558")</f>
        <v>ul_166558</v>
      </c>
      <c r="B369">
        <v>0</v>
      </c>
      <c r="C369">
        <v>0</v>
      </c>
      <c r="D369">
        <v>0.5</v>
      </c>
      <c r="E369">
        <v>0.5</v>
      </c>
      <c r="F369">
        <v>0.5</v>
      </c>
      <c r="G369">
        <v>0.5</v>
      </c>
    </row>
    <row r="370" spans="1:7" x14ac:dyDescent="0.25">
      <c r="A370" t="str">
        <f>HYPERLINK("./new_k5/query_cmdrels_weight_analyze/0.4_0.3_0.3/ul_171314.xlsx","ul_171314")</f>
        <v>ul_171314</v>
      </c>
      <c r="B370">
        <v>1</v>
      </c>
      <c r="C370">
        <v>1</v>
      </c>
      <c r="D370">
        <v>1</v>
      </c>
      <c r="E370">
        <v>1</v>
      </c>
      <c r="F370">
        <v>1</v>
      </c>
      <c r="G370">
        <v>1</v>
      </c>
    </row>
    <row r="371" spans="1:7" x14ac:dyDescent="0.25">
      <c r="A371" t="str">
        <f>HYPERLINK("./new_k5/query_cmdrels_weight_analyze/0.4_0.3_0.3/ul_182032.xlsx","ul_182032")</f>
        <v>ul_182032</v>
      </c>
      <c r="B371">
        <v>1</v>
      </c>
      <c r="C371">
        <v>0</v>
      </c>
      <c r="D371">
        <v>1</v>
      </c>
      <c r="E371">
        <v>0.33333333333333331</v>
      </c>
      <c r="F371">
        <v>1</v>
      </c>
      <c r="G371">
        <v>0.33333333333333331</v>
      </c>
    </row>
    <row r="372" spans="1:7" x14ac:dyDescent="0.25">
      <c r="A372" t="str">
        <f>HYPERLINK("./new_k5/query_cmdrels_weight_analyze/0.4_0.3_0.3/ul_19344.xlsx","ul_19344")</f>
        <v>ul_19344</v>
      </c>
      <c r="B372">
        <v>1</v>
      </c>
      <c r="C372">
        <v>1</v>
      </c>
      <c r="D372">
        <v>1</v>
      </c>
      <c r="E372">
        <v>1</v>
      </c>
      <c r="F372">
        <v>1</v>
      </c>
      <c r="G372">
        <v>1</v>
      </c>
    </row>
    <row r="373" spans="1:7" x14ac:dyDescent="0.25">
      <c r="A373" t="str">
        <f>HYPERLINK("./new_k5/query_cmdrels_weight_analyze/0.4_0.3_0.3/ul_19369.xlsx","ul_19369")</f>
        <v>ul_19369</v>
      </c>
      <c r="B373">
        <v>0</v>
      </c>
      <c r="C373">
        <v>0</v>
      </c>
      <c r="D373">
        <v>0.5</v>
      </c>
      <c r="E373">
        <v>0.33333333333333331</v>
      </c>
      <c r="F373">
        <v>0.5</v>
      </c>
      <c r="G373">
        <v>0.33333333333333331</v>
      </c>
    </row>
    <row r="374" spans="1:7" x14ac:dyDescent="0.25">
      <c r="A374" t="str">
        <f>HYPERLINK("./new_k5/query_cmdrels_weight_analyze/0.4_0.3_0.3/ul_19485.xlsx","ul_19485")</f>
        <v>ul_19485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0.25</v>
      </c>
    </row>
    <row r="375" spans="1:7" x14ac:dyDescent="0.25">
      <c r="A375" t="str">
        <f>HYPERLINK("./new_k5/query_cmdrels_weight_analyze/0.4_0.3_0.3/ul_20370.xlsx","ul_20370")</f>
        <v>ul_20370</v>
      </c>
      <c r="B375">
        <v>0</v>
      </c>
      <c r="C375">
        <v>0</v>
      </c>
      <c r="D375">
        <v>0</v>
      </c>
      <c r="E375">
        <v>0.33333333333333331</v>
      </c>
      <c r="F375">
        <v>0</v>
      </c>
      <c r="G375">
        <v>0.33333333333333331</v>
      </c>
    </row>
    <row r="376" spans="1:7" x14ac:dyDescent="0.25">
      <c r="A376" t="str">
        <f>HYPERLINK("./new_k5/query_cmdrels_weight_analyze/0.4_0.3_0.3/ul_211817.xlsx","ul_211817")</f>
        <v>ul_211817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</row>
    <row r="377" spans="1:7" x14ac:dyDescent="0.25">
      <c r="A377" t="str">
        <f>HYPERLINK("./new_k5/query_cmdrels_weight_analyze/0.4_0.3_0.3/ul_212925.xlsx","ul_212925")</f>
        <v>ul_212925</v>
      </c>
      <c r="B377">
        <v>1</v>
      </c>
      <c r="C377">
        <v>0</v>
      </c>
      <c r="D377">
        <v>1</v>
      </c>
      <c r="E377">
        <v>0.33333333333333331</v>
      </c>
      <c r="F377">
        <v>1</v>
      </c>
      <c r="G377">
        <v>0.33333333333333331</v>
      </c>
    </row>
    <row r="378" spans="1:7" x14ac:dyDescent="0.25">
      <c r="A378" t="str">
        <f>HYPERLINK("./new_k5/query_cmdrels_weight_analyze/0.4_0.3_0.3/ul_21471.xlsx","ul_21471")</f>
        <v>ul_21471</v>
      </c>
      <c r="B378">
        <v>0</v>
      </c>
      <c r="C378">
        <v>1</v>
      </c>
      <c r="D378">
        <v>0</v>
      </c>
      <c r="E378">
        <v>1</v>
      </c>
      <c r="F378">
        <v>0</v>
      </c>
      <c r="G378">
        <v>1</v>
      </c>
    </row>
    <row r="379" spans="1:7" x14ac:dyDescent="0.25">
      <c r="A379" t="str">
        <f>HYPERLINK("./new_k5/query_cmdrels_weight_analyze/0.4_0.3_0.3/ul_22545.xlsx","ul_22545")</f>
        <v>ul_22545</v>
      </c>
      <c r="B379">
        <v>0</v>
      </c>
      <c r="C379">
        <v>1</v>
      </c>
      <c r="D379">
        <v>0</v>
      </c>
      <c r="E379">
        <v>1</v>
      </c>
      <c r="F379">
        <v>0</v>
      </c>
      <c r="G379">
        <v>1</v>
      </c>
    </row>
    <row r="380" spans="1:7" x14ac:dyDescent="0.25">
      <c r="A380" t="str">
        <f>HYPERLINK("./new_k5/query_cmdrels_weight_analyze/0.4_0.3_0.3/ul_230481.xlsx","ul_230481")</f>
        <v>ul_230481</v>
      </c>
      <c r="B380">
        <v>1</v>
      </c>
      <c r="C380">
        <v>1</v>
      </c>
      <c r="D380">
        <v>1</v>
      </c>
      <c r="E380">
        <v>1</v>
      </c>
      <c r="F380">
        <v>1</v>
      </c>
      <c r="G380">
        <v>1</v>
      </c>
    </row>
    <row r="381" spans="1:7" x14ac:dyDescent="0.25">
      <c r="A381" t="str">
        <f>HYPERLINK("./new_k5/query_cmdrels_weight_analyze/0.4_0.3_0.3/ul_230673.xlsx","ul_230673")</f>
        <v>ul_230673</v>
      </c>
      <c r="B381">
        <v>0</v>
      </c>
      <c r="C381">
        <v>0</v>
      </c>
      <c r="D381">
        <v>0</v>
      </c>
      <c r="E381">
        <v>0.5</v>
      </c>
      <c r="F381">
        <v>0</v>
      </c>
      <c r="G381">
        <v>0.5</v>
      </c>
    </row>
    <row r="382" spans="1:7" x14ac:dyDescent="0.25">
      <c r="A382" t="str">
        <f>HYPERLINK("./new_k5/query_cmdrels_weight_analyze/0.4_0.3_0.3/ul_230800.xlsx","ul_230800")</f>
        <v>ul_230800</v>
      </c>
      <c r="B382">
        <v>1</v>
      </c>
      <c r="C382">
        <v>1</v>
      </c>
      <c r="D382">
        <v>1</v>
      </c>
      <c r="E382">
        <v>1</v>
      </c>
      <c r="F382">
        <v>1</v>
      </c>
      <c r="G382">
        <v>1</v>
      </c>
    </row>
    <row r="383" spans="1:7" x14ac:dyDescent="0.25">
      <c r="A383" t="str">
        <f>HYPERLINK("./new_k5/query_cmdrels_weight_analyze/0.4_0.3_0.3/ul_232384.xlsx","ul_232384")</f>
        <v>ul_232384</v>
      </c>
      <c r="B383">
        <v>1</v>
      </c>
      <c r="C383">
        <v>1</v>
      </c>
      <c r="D383">
        <v>1</v>
      </c>
      <c r="E383">
        <v>1</v>
      </c>
      <c r="F383">
        <v>1</v>
      </c>
      <c r="G383">
        <v>1</v>
      </c>
    </row>
    <row r="384" spans="1:7" x14ac:dyDescent="0.25">
      <c r="A384" t="str">
        <f>HYPERLINK("./new_k5/query_cmdrels_weight_analyze/0.4_0.3_0.3/ul_24441.xlsx","ul_24441")</f>
        <v>ul_24441</v>
      </c>
      <c r="B384">
        <v>0</v>
      </c>
      <c r="C384">
        <v>0</v>
      </c>
      <c r="D384">
        <v>0.5</v>
      </c>
      <c r="E384">
        <v>0.5</v>
      </c>
      <c r="F384">
        <v>0.5</v>
      </c>
      <c r="G384">
        <v>0.5</v>
      </c>
    </row>
    <row r="385" spans="1:7" x14ac:dyDescent="0.25">
      <c r="A385" t="str">
        <f>HYPERLINK("./new_k5/query_cmdrels_weight_analyze/0.4_0.3_0.3/ul_246535.xlsx","ul_246535")</f>
        <v>ul_246535</v>
      </c>
      <c r="B385">
        <v>0</v>
      </c>
      <c r="C385">
        <v>1</v>
      </c>
      <c r="D385">
        <v>0</v>
      </c>
      <c r="E385">
        <v>1</v>
      </c>
      <c r="F385">
        <v>0.2</v>
      </c>
      <c r="G385">
        <v>1</v>
      </c>
    </row>
    <row r="386" spans="1:7" x14ac:dyDescent="0.25">
      <c r="A386" t="str">
        <f>HYPERLINK("./new_k5/query_cmdrels_weight_analyze/0.4_0.3_0.3/ul_259791.xlsx","ul_259791")</f>
        <v>ul_259791</v>
      </c>
      <c r="B386">
        <v>0</v>
      </c>
      <c r="C386">
        <v>0</v>
      </c>
      <c r="D386">
        <v>0</v>
      </c>
      <c r="E386">
        <v>0.33333333333333331</v>
      </c>
      <c r="F386">
        <v>0.2</v>
      </c>
      <c r="G386">
        <v>0.33333333333333331</v>
      </c>
    </row>
    <row r="387" spans="1:7" x14ac:dyDescent="0.25">
      <c r="A387" t="str">
        <f>HYPERLINK("./new_k5/query_cmdrels_weight_analyze/0.4_0.3_0.3/ul_273971.xlsx","ul_273971")</f>
        <v>ul_273971</v>
      </c>
      <c r="B387">
        <v>0</v>
      </c>
      <c r="C387">
        <v>1</v>
      </c>
      <c r="D387">
        <v>0</v>
      </c>
      <c r="E387">
        <v>1</v>
      </c>
      <c r="F387">
        <v>0</v>
      </c>
      <c r="G387">
        <v>1</v>
      </c>
    </row>
    <row r="388" spans="1:7" x14ac:dyDescent="0.25">
      <c r="A388" t="str">
        <f>HYPERLINK("./new_k5/query_cmdrels_weight_analyze/0.4_0.3_0.3/ul_28553.xlsx","ul_28553")</f>
        <v>ul_28553</v>
      </c>
      <c r="B388">
        <v>0</v>
      </c>
      <c r="C388">
        <v>0</v>
      </c>
      <c r="D388">
        <v>0</v>
      </c>
      <c r="E388">
        <v>0.5</v>
      </c>
      <c r="F388">
        <v>0</v>
      </c>
      <c r="G388">
        <v>0.5</v>
      </c>
    </row>
    <row r="389" spans="1:7" x14ac:dyDescent="0.25">
      <c r="A389" t="str">
        <f>HYPERLINK("./new_k5/query_cmdrels_weight_analyze/0.4_0.3_0.3/ul_288521.xlsx","ul_288521")</f>
        <v>ul_288521</v>
      </c>
      <c r="B389">
        <v>0</v>
      </c>
      <c r="C389">
        <v>1</v>
      </c>
      <c r="D389">
        <v>0</v>
      </c>
      <c r="E389">
        <v>1</v>
      </c>
      <c r="F389">
        <v>0.25</v>
      </c>
      <c r="G389">
        <v>1</v>
      </c>
    </row>
    <row r="390" spans="1:7" x14ac:dyDescent="0.25">
      <c r="A390" t="str">
        <f>HYPERLINK("./new_k5/query_cmdrels_weight_analyze/0.4_0.3_0.3/ul_32290.xlsx","ul_32290")</f>
        <v>ul_32290</v>
      </c>
      <c r="B390">
        <v>1</v>
      </c>
      <c r="C390">
        <v>0</v>
      </c>
      <c r="D390">
        <v>1</v>
      </c>
      <c r="E390">
        <v>0.5</v>
      </c>
      <c r="F390">
        <v>1</v>
      </c>
      <c r="G390">
        <v>0.5</v>
      </c>
    </row>
    <row r="391" spans="1:7" x14ac:dyDescent="0.25">
      <c r="A391" t="str">
        <f>HYPERLINK("./new_k5/query_cmdrels_weight_analyze/0.4_0.3_0.3/ul_328882.xlsx","ul_328882")</f>
        <v>ul_328882</v>
      </c>
      <c r="B391">
        <v>1</v>
      </c>
      <c r="C391">
        <v>0</v>
      </c>
      <c r="D391">
        <v>1</v>
      </c>
      <c r="E391">
        <v>0.33333333333333331</v>
      </c>
      <c r="F391">
        <v>1</v>
      </c>
      <c r="G391">
        <v>0.33333333333333331</v>
      </c>
    </row>
    <row r="392" spans="1:7" x14ac:dyDescent="0.25">
      <c r="A392" t="str">
        <f>HYPERLINK("./new_k5/query_cmdrels_weight_analyze/0.4_0.3_0.3/ul_35131.xlsx","ul_35131")</f>
        <v>ul_35131</v>
      </c>
      <c r="B392">
        <v>1</v>
      </c>
      <c r="C392">
        <v>1</v>
      </c>
      <c r="D392">
        <v>1</v>
      </c>
      <c r="E392">
        <v>1</v>
      </c>
      <c r="F392">
        <v>1</v>
      </c>
      <c r="G392">
        <v>1</v>
      </c>
    </row>
    <row r="393" spans="1:7" x14ac:dyDescent="0.25">
      <c r="A393" t="str">
        <f>HYPERLINK("./new_k5/query_cmdrels_weight_analyze/0.4_0.3_0.3/ul_35333.xlsx","ul_35333")</f>
        <v>ul_35333</v>
      </c>
      <c r="B393">
        <v>0</v>
      </c>
      <c r="C393">
        <v>1</v>
      </c>
      <c r="D393">
        <v>0</v>
      </c>
      <c r="E393">
        <v>1</v>
      </c>
      <c r="F393">
        <v>0</v>
      </c>
      <c r="G393">
        <v>1</v>
      </c>
    </row>
    <row r="394" spans="1:7" x14ac:dyDescent="0.25">
      <c r="A394" t="str">
        <f>HYPERLINK("./new_k5/query_cmdrels_weight_analyze/0.4_0.3_0.3/ul_35711.xlsx","ul_35711")</f>
        <v>ul_35711</v>
      </c>
      <c r="B394">
        <v>0</v>
      </c>
      <c r="C394">
        <v>0</v>
      </c>
      <c r="D394">
        <v>0.33333333333333298</v>
      </c>
      <c r="E394">
        <v>0.5</v>
      </c>
      <c r="F394">
        <v>0.33333333333333298</v>
      </c>
      <c r="G394">
        <v>0.5</v>
      </c>
    </row>
    <row r="395" spans="1:7" x14ac:dyDescent="0.25">
      <c r="A395" t="str">
        <f>HYPERLINK("./new_k5/query_cmdrels_weight_analyze/0.4_0.3_0.3/ul_3575.xlsx","ul_3575")</f>
        <v>ul_3575</v>
      </c>
      <c r="B395">
        <v>0</v>
      </c>
      <c r="C395">
        <v>0</v>
      </c>
      <c r="D395">
        <v>0.5</v>
      </c>
      <c r="E395">
        <v>0.5</v>
      </c>
      <c r="F395">
        <v>0.5</v>
      </c>
      <c r="G395">
        <v>0.5</v>
      </c>
    </row>
    <row r="396" spans="1:7" x14ac:dyDescent="0.25">
      <c r="A396" t="str">
        <f>HYPERLINK("./new_k5/query_cmdrels_weight_analyze/0.4_0.3_0.3/ul_35832.xlsx","ul_35832")</f>
        <v>ul_35832</v>
      </c>
      <c r="B396">
        <v>0</v>
      </c>
      <c r="C396">
        <v>1</v>
      </c>
      <c r="D396">
        <v>0</v>
      </c>
      <c r="E396">
        <v>1</v>
      </c>
      <c r="F396">
        <v>0.25</v>
      </c>
      <c r="G396">
        <v>1</v>
      </c>
    </row>
    <row r="397" spans="1:7" x14ac:dyDescent="0.25">
      <c r="A397" t="str">
        <f>HYPERLINK("./new_k5/query_cmdrels_weight_analyze/0.4_0.3_0.3/ul_370318.xlsx","ul_370318")</f>
        <v>ul_370318</v>
      </c>
      <c r="B397">
        <v>0</v>
      </c>
      <c r="C397">
        <v>1</v>
      </c>
      <c r="D397">
        <v>0.5</v>
      </c>
      <c r="E397">
        <v>1</v>
      </c>
      <c r="F397">
        <v>0.5</v>
      </c>
      <c r="G397">
        <v>1</v>
      </c>
    </row>
    <row r="398" spans="1:7" x14ac:dyDescent="0.25">
      <c r="A398" t="str">
        <f>HYPERLINK("./new_k5/query_cmdrels_weight_analyze/0.4_0.3_0.3/ul_37329.xlsx","ul_37329")</f>
        <v>ul_37329</v>
      </c>
      <c r="B398">
        <v>1</v>
      </c>
      <c r="C398">
        <v>1</v>
      </c>
      <c r="D398">
        <v>1</v>
      </c>
      <c r="E398">
        <v>1</v>
      </c>
      <c r="F398">
        <v>1</v>
      </c>
      <c r="G398">
        <v>1</v>
      </c>
    </row>
    <row r="399" spans="1:7" x14ac:dyDescent="0.25">
      <c r="A399" t="str">
        <f>HYPERLINK("./new_k5/query_cmdrels_weight_analyze/0.4_0.3_0.3/ul_38209.xlsx","ul_38209")</f>
        <v>ul_38209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</row>
    <row r="400" spans="1:7" x14ac:dyDescent="0.25">
      <c r="A400" t="str">
        <f>HYPERLINK("./new_k5/query_cmdrels_weight_analyze/0.4_0.3_0.3/ul_41246.xlsx","ul_41246")</f>
        <v>ul_41246</v>
      </c>
      <c r="B400">
        <v>0</v>
      </c>
      <c r="C400">
        <v>1</v>
      </c>
      <c r="D400">
        <v>0</v>
      </c>
      <c r="E400">
        <v>1</v>
      </c>
      <c r="F400">
        <v>0</v>
      </c>
      <c r="G400">
        <v>1</v>
      </c>
    </row>
    <row r="401" spans="1:7" x14ac:dyDescent="0.25">
      <c r="A401" t="str">
        <f>HYPERLINK("./new_k5/query_cmdrels_weight_analyze/0.4_0.3_0.3/ul_41362.xlsx","ul_41362")</f>
        <v>ul_41362</v>
      </c>
      <c r="B401">
        <v>0</v>
      </c>
      <c r="C401">
        <v>0</v>
      </c>
      <c r="D401">
        <v>0</v>
      </c>
      <c r="E401">
        <v>0.33333333333333331</v>
      </c>
      <c r="F401">
        <v>0</v>
      </c>
      <c r="G401">
        <v>0.33333333333333331</v>
      </c>
    </row>
    <row r="402" spans="1:7" x14ac:dyDescent="0.25">
      <c r="A402" t="str">
        <f>HYPERLINK("./new_k5/query_cmdrels_weight_analyze/0.4_0.3_0.3/ul_48200.xlsx","ul_48200")</f>
        <v>ul_48200</v>
      </c>
      <c r="B402">
        <v>0</v>
      </c>
      <c r="C402">
        <v>1</v>
      </c>
      <c r="D402">
        <v>0</v>
      </c>
      <c r="E402">
        <v>1</v>
      </c>
      <c r="F402">
        <v>0</v>
      </c>
      <c r="G402">
        <v>1</v>
      </c>
    </row>
    <row r="403" spans="1:7" x14ac:dyDescent="0.25">
      <c r="A403" t="str">
        <f>HYPERLINK("./new_k5/query_cmdrels_weight_analyze/0.4_0.3_0.3/ul_50098.xlsx","ul_50098")</f>
        <v>ul_50098</v>
      </c>
      <c r="B403">
        <v>0</v>
      </c>
      <c r="C403">
        <v>1</v>
      </c>
      <c r="D403">
        <v>0</v>
      </c>
      <c r="E403">
        <v>1</v>
      </c>
      <c r="F403">
        <v>0</v>
      </c>
      <c r="G403">
        <v>1</v>
      </c>
    </row>
    <row r="404" spans="1:7" x14ac:dyDescent="0.25">
      <c r="A404" t="str">
        <f>HYPERLINK("./new_k5/query_cmdrels_weight_analyze/0.4_0.3_0.3/ul_50785.xlsx","ul_50785")</f>
        <v>ul_50785</v>
      </c>
      <c r="B404">
        <v>0</v>
      </c>
      <c r="C404">
        <v>1</v>
      </c>
      <c r="D404">
        <v>0</v>
      </c>
      <c r="E404">
        <v>1</v>
      </c>
      <c r="F404">
        <v>0</v>
      </c>
      <c r="G404">
        <v>1</v>
      </c>
    </row>
    <row r="405" spans="1:7" x14ac:dyDescent="0.25">
      <c r="A405" t="str">
        <f>HYPERLINK("./new_k5/query_cmdrels_weight_analyze/0.4_0.3_0.3/ul_5085.xlsx","ul_5085")</f>
        <v>ul_5085</v>
      </c>
      <c r="B405">
        <v>0</v>
      </c>
      <c r="C405">
        <v>1</v>
      </c>
      <c r="D405">
        <v>0</v>
      </c>
      <c r="E405">
        <v>1</v>
      </c>
      <c r="F405">
        <v>0</v>
      </c>
      <c r="G405">
        <v>1</v>
      </c>
    </row>
    <row r="406" spans="1:7" x14ac:dyDescent="0.25">
      <c r="A406" t="str">
        <f>HYPERLINK("./new_k5/query_cmdrels_weight_analyze/0.4_0.3_0.3/ul_53737.xlsx","ul_53737")</f>
        <v>ul_53737</v>
      </c>
      <c r="B406">
        <v>1</v>
      </c>
      <c r="C406">
        <v>1</v>
      </c>
      <c r="D406">
        <v>1</v>
      </c>
      <c r="E406">
        <v>1</v>
      </c>
      <c r="F406">
        <v>1</v>
      </c>
      <c r="G406">
        <v>1</v>
      </c>
    </row>
    <row r="407" spans="1:7" x14ac:dyDescent="0.25">
      <c r="A407" t="str">
        <f>HYPERLINK("./new_k5/query_cmdrels_weight_analyze/0.4_0.3_0.3/ul_55125.xlsx","ul_55125")</f>
        <v>ul_55125</v>
      </c>
      <c r="B407">
        <v>0</v>
      </c>
      <c r="C407">
        <v>0</v>
      </c>
      <c r="D407">
        <v>0</v>
      </c>
      <c r="E407">
        <v>0.5</v>
      </c>
      <c r="F407">
        <v>0.25</v>
      </c>
      <c r="G407">
        <v>0.5</v>
      </c>
    </row>
    <row r="408" spans="1:7" x14ac:dyDescent="0.25">
      <c r="A408" t="str">
        <f>HYPERLINK("./new_k5/query_cmdrels_weight_analyze/0.4_0.3_0.3/ul_56453.xlsx","ul_56453")</f>
        <v>ul_56453</v>
      </c>
      <c r="B408">
        <v>0</v>
      </c>
      <c r="C408">
        <v>1</v>
      </c>
      <c r="D408">
        <v>0</v>
      </c>
      <c r="E408">
        <v>1</v>
      </c>
      <c r="F408">
        <v>0</v>
      </c>
      <c r="G408">
        <v>1</v>
      </c>
    </row>
    <row r="409" spans="1:7" x14ac:dyDescent="0.25">
      <c r="A409" t="str">
        <f>HYPERLINK("./new_k5/query_cmdrels_weight_analyze/0.4_0.3_0.3/ul_63648.xlsx","ul_63648")</f>
        <v>ul_63648</v>
      </c>
      <c r="B409">
        <v>0</v>
      </c>
      <c r="C409">
        <v>0</v>
      </c>
      <c r="D409">
        <v>0.33333333333333298</v>
      </c>
      <c r="E409">
        <v>0.5</v>
      </c>
      <c r="F409">
        <v>0.33333333333333298</v>
      </c>
      <c r="G409">
        <v>0.5</v>
      </c>
    </row>
    <row r="410" spans="1:7" x14ac:dyDescent="0.25">
      <c r="A410" t="str">
        <f>HYPERLINK("./new_k5/query_cmdrels_weight_analyze/0.4_0.3_0.3/ul_6402.xlsx","ul_6402")</f>
        <v>ul_6402</v>
      </c>
      <c r="B410">
        <v>0</v>
      </c>
      <c r="C410">
        <v>1</v>
      </c>
      <c r="D410">
        <v>0.5</v>
      </c>
      <c r="E410">
        <v>1</v>
      </c>
      <c r="F410">
        <v>0.5</v>
      </c>
      <c r="G410">
        <v>1</v>
      </c>
    </row>
    <row r="411" spans="1:7" x14ac:dyDescent="0.25">
      <c r="A411" t="str">
        <f>HYPERLINK("./new_k5/query_cmdrels_weight_analyze/0.4_0.3_0.3/ul_65106.xlsx","ul_65106")</f>
        <v>ul_65106</v>
      </c>
      <c r="B411">
        <v>0</v>
      </c>
      <c r="C411">
        <v>1</v>
      </c>
      <c r="D411">
        <v>0</v>
      </c>
      <c r="E411">
        <v>1</v>
      </c>
      <c r="F411">
        <v>0</v>
      </c>
      <c r="G411">
        <v>1</v>
      </c>
    </row>
    <row r="412" spans="1:7" x14ac:dyDescent="0.25">
      <c r="A412" t="str">
        <f>HYPERLINK("./new_k5/query_cmdrels_weight_analyze/0.4_0.3_0.3/ul_65932.xlsx","ul_65932")</f>
        <v>ul_65932</v>
      </c>
      <c r="B412">
        <v>0</v>
      </c>
      <c r="C412">
        <v>0</v>
      </c>
      <c r="D412">
        <v>0</v>
      </c>
      <c r="E412">
        <v>0</v>
      </c>
      <c r="F412">
        <v>0.25</v>
      </c>
      <c r="G412">
        <v>0</v>
      </c>
    </row>
    <row r="413" spans="1:7" x14ac:dyDescent="0.25">
      <c r="A413" t="str">
        <f>HYPERLINK("./new_k5/query_cmdrels_weight_analyze/0.4_0.3_0.3/ul_6596.xlsx","ul_6596")</f>
        <v>ul_6596</v>
      </c>
      <c r="B413">
        <v>1</v>
      </c>
      <c r="C413">
        <v>1</v>
      </c>
      <c r="D413">
        <v>1</v>
      </c>
      <c r="E413">
        <v>1</v>
      </c>
      <c r="F413">
        <v>1</v>
      </c>
      <c r="G413">
        <v>1</v>
      </c>
    </row>
    <row r="414" spans="1:7" x14ac:dyDescent="0.25">
      <c r="A414" t="str">
        <f>HYPERLINK("./new_k5/query_cmdrels_weight_analyze/0.4_0.3_0.3/ul_67503.xlsx","ul_67503")</f>
        <v>ul_67503</v>
      </c>
      <c r="B414">
        <v>1</v>
      </c>
      <c r="C414">
        <v>1</v>
      </c>
      <c r="D414">
        <v>1</v>
      </c>
      <c r="E414">
        <v>1</v>
      </c>
      <c r="F414">
        <v>1</v>
      </c>
      <c r="G414">
        <v>1</v>
      </c>
    </row>
    <row r="415" spans="1:7" x14ac:dyDescent="0.25">
      <c r="A415" t="str">
        <f>HYPERLINK("./new_k5/query_cmdrels_weight_analyze/0.4_0.3_0.3/ul_67592.xlsx","ul_67592")</f>
        <v>ul_67592</v>
      </c>
      <c r="B415">
        <v>0</v>
      </c>
      <c r="C415">
        <v>0</v>
      </c>
      <c r="D415">
        <v>0</v>
      </c>
      <c r="E415">
        <v>0.33333333333333331</v>
      </c>
      <c r="F415">
        <v>0</v>
      </c>
      <c r="G415">
        <v>0.33333333333333331</v>
      </c>
    </row>
    <row r="416" spans="1:7" x14ac:dyDescent="0.25">
      <c r="A416" t="str">
        <f>HYPERLINK("./new_k5/query_cmdrels_weight_analyze/0.4_0.3_0.3/ul_70581.xlsx","ul_70581")</f>
        <v>ul_70581</v>
      </c>
      <c r="B416">
        <v>0</v>
      </c>
      <c r="C416">
        <v>0</v>
      </c>
      <c r="D416">
        <v>0</v>
      </c>
      <c r="E416">
        <v>0.5</v>
      </c>
      <c r="F416">
        <v>0</v>
      </c>
      <c r="G416">
        <v>0.5</v>
      </c>
    </row>
    <row r="417" spans="1:7" x14ac:dyDescent="0.25">
      <c r="A417" t="str">
        <f>HYPERLINK("./new_k5/query_cmdrels_weight_analyze/0.4_0.3_0.3/ul_70614.xlsx","ul_70614")</f>
        <v>ul_70614</v>
      </c>
      <c r="B417">
        <v>1</v>
      </c>
      <c r="C417">
        <v>0</v>
      </c>
      <c r="D417">
        <v>1</v>
      </c>
      <c r="E417">
        <v>0.5</v>
      </c>
      <c r="F417">
        <v>1</v>
      </c>
      <c r="G417">
        <v>0.5</v>
      </c>
    </row>
    <row r="418" spans="1:7" x14ac:dyDescent="0.25">
      <c r="A418" t="str">
        <f>HYPERLINK("./new_k5/query_cmdrels_weight_analyze/0.4_0.3_0.3/ul_71465.xlsx","ul_71465")</f>
        <v>ul_71465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</row>
    <row r="419" spans="1:7" x14ac:dyDescent="0.25">
      <c r="A419" t="str">
        <f>HYPERLINK("./new_k5/query_cmdrels_weight_analyze/0.4_0.3_0.3/ul_7226.xlsx","ul_7226")</f>
        <v>ul_7226</v>
      </c>
      <c r="B419">
        <v>0</v>
      </c>
      <c r="C419">
        <v>1</v>
      </c>
      <c r="D419">
        <v>0</v>
      </c>
      <c r="E419">
        <v>1</v>
      </c>
      <c r="F419">
        <v>0.25</v>
      </c>
      <c r="G419">
        <v>1</v>
      </c>
    </row>
    <row r="420" spans="1:7" x14ac:dyDescent="0.25">
      <c r="A420" t="str">
        <f>HYPERLINK("./new_k5/query_cmdrels_weight_analyze/0.4_0.3_0.3/ul_78182.xlsx","ul_78182")</f>
        <v>ul_78182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0.2</v>
      </c>
    </row>
    <row r="421" spans="1:7" x14ac:dyDescent="0.25">
      <c r="A421" t="str">
        <f>HYPERLINK("./new_k5/query_cmdrels_weight_analyze/0.4_0.3_0.3/ul_79678.xlsx","ul_79678")</f>
        <v>ul_79678</v>
      </c>
      <c r="B421">
        <v>1</v>
      </c>
      <c r="C421">
        <v>0</v>
      </c>
      <c r="D421">
        <v>1</v>
      </c>
      <c r="E421">
        <v>0</v>
      </c>
      <c r="F421">
        <v>1</v>
      </c>
      <c r="G421">
        <v>0.25</v>
      </c>
    </row>
    <row r="422" spans="1:7" x14ac:dyDescent="0.25">
      <c r="A422" t="str">
        <f>HYPERLINK("./new_k5/query_cmdrels_weight_analyze/0.4_0.3_0.3/ul_79702.xlsx","ul_79702")</f>
        <v>ul_79702</v>
      </c>
      <c r="B422">
        <v>0</v>
      </c>
      <c r="C422">
        <v>1</v>
      </c>
      <c r="D422">
        <v>0</v>
      </c>
      <c r="E422">
        <v>1</v>
      </c>
      <c r="F422">
        <v>0</v>
      </c>
      <c r="G422">
        <v>1</v>
      </c>
    </row>
    <row r="423" spans="1:7" x14ac:dyDescent="0.25">
      <c r="A423" t="str">
        <f>HYPERLINK("./new_k5/query_cmdrels_weight_analyze/0.4_0.3_0.3/ul_83593.xlsx","ul_83593")</f>
        <v>ul_83593</v>
      </c>
      <c r="B423">
        <v>1</v>
      </c>
      <c r="C423">
        <v>1</v>
      </c>
      <c r="D423">
        <v>1</v>
      </c>
      <c r="E423">
        <v>1</v>
      </c>
      <c r="F423">
        <v>1</v>
      </c>
      <c r="G423">
        <v>1</v>
      </c>
    </row>
    <row r="424" spans="1:7" x14ac:dyDescent="0.25">
      <c r="A424" t="str">
        <f>HYPERLINK("./new_k5/query_cmdrels_weight_analyze/0.4_0.3_0.3/ul_84381.xlsx","ul_84381")</f>
        <v>ul_84381</v>
      </c>
      <c r="B424">
        <v>0</v>
      </c>
      <c r="C424">
        <v>1</v>
      </c>
      <c r="D424">
        <v>0.33333333333333298</v>
      </c>
      <c r="E424">
        <v>1</v>
      </c>
      <c r="F424">
        <v>0.33333333333333298</v>
      </c>
      <c r="G424">
        <v>1</v>
      </c>
    </row>
    <row r="425" spans="1:7" x14ac:dyDescent="0.25">
      <c r="A425" t="str">
        <f>HYPERLINK("./new_k5/query_cmdrels_weight_analyze/0.4_0.3_0.3/ul_85180.xlsx","ul_85180")</f>
        <v>ul_85180</v>
      </c>
      <c r="B425">
        <v>0</v>
      </c>
      <c r="C425">
        <v>0</v>
      </c>
      <c r="D425">
        <v>0</v>
      </c>
      <c r="E425">
        <v>0.33333333333333331</v>
      </c>
      <c r="F425">
        <v>0</v>
      </c>
      <c r="G425">
        <v>0.33333333333333331</v>
      </c>
    </row>
    <row r="426" spans="1:7" x14ac:dyDescent="0.25">
      <c r="A426" t="str">
        <f>HYPERLINK("./new_k5/query_cmdrels_weight_analyze/0.4_0.3_0.3/ul_86071.xlsx","ul_86071")</f>
        <v>ul_86071</v>
      </c>
      <c r="B426">
        <v>0</v>
      </c>
      <c r="C426">
        <v>1</v>
      </c>
      <c r="D426">
        <v>0</v>
      </c>
      <c r="E426">
        <v>1</v>
      </c>
      <c r="F426">
        <v>0</v>
      </c>
      <c r="G426">
        <v>1</v>
      </c>
    </row>
    <row r="427" spans="1:7" x14ac:dyDescent="0.25">
      <c r="A427" t="str">
        <f>HYPERLINK("./new_k5/query_cmdrels_weight_analyze/0.4_0.3_0.3/ul_86729.xlsx","ul_86729")</f>
        <v>ul_86729</v>
      </c>
      <c r="B427">
        <v>0</v>
      </c>
      <c r="C427">
        <v>0</v>
      </c>
      <c r="D427">
        <v>0.33333333333333298</v>
      </c>
      <c r="E427">
        <v>0</v>
      </c>
      <c r="F427">
        <v>0.33333333333333298</v>
      </c>
      <c r="G427">
        <v>0</v>
      </c>
    </row>
    <row r="428" spans="1:7" x14ac:dyDescent="0.25">
      <c r="A428" t="str">
        <f>HYPERLINK("./new_k5/query_cmdrels_weight_analyze/0.4_0.3_0.3/ul_88824.xlsx","ul_88824")</f>
        <v>ul_88824</v>
      </c>
      <c r="B428">
        <v>0</v>
      </c>
      <c r="C428">
        <v>1</v>
      </c>
      <c r="D428">
        <v>0</v>
      </c>
      <c r="E428">
        <v>1</v>
      </c>
      <c r="F428">
        <v>0</v>
      </c>
      <c r="G428">
        <v>1</v>
      </c>
    </row>
    <row r="429" spans="1:7" x14ac:dyDescent="0.25">
      <c r="A429" t="str">
        <f>HYPERLINK("./new_k5/query_cmdrels_weight_analyze/0.4_0.3_0.3/ul_8945.xlsx","ul_8945")</f>
        <v>ul_8945</v>
      </c>
      <c r="B429">
        <v>1</v>
      </c>
      <c r="C429">
        <v>1</v>
      </c>
      <c r="D429">
        <v>1</v>
      </c>
      <c r="E429">
        <v>1</v>
      </c>
      <c r="F429">
        <v>1</v>
      </c>
      <c r="G429">
        <v>1</v>
      </c>
    </row>
    <row r="430" spans="1:7" x14ac:dyDescent="0.25">
      <c r="A430" t="str">
        <f>HYPERLINK("./new_k5/query_cmdrels_weight_analyze/0.4_0.3_0.3/ul_89933.xlsx","ul_89933")</f>
        <v>ul_89933</v>
      </c>
      <c r="B430">
        <v>0</v>
      </c>
      <c r="C430">
        <v>1</v>
      </c>
      <c r="D430">
        <v>0</v>
      </c>
      <c r="E430">
        <v>1</v>
      </c>
      <c r="F430">
        <v>0</v>
      </c>
      <c r="G430">
        <v>1</v>
      </c>
    </row>
    <row r="431" spans="1:7" x14ac:dyDescent="0.25">
      <c r="A431" t="str">
        <f>HYPERLINK("./new_k5/query_cmdrels_weight_analyze/0.4_0.3_0.3/ul_91297.xlsx","ul_91297")</f>
        <v>ul_91297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</row>
    <row r="432" spans="1:7" x14ac:dyDescent="0.25">
      <c r="A432" t="str">
        <f>HYPERLINK("./new_k5/query_cmdrels_weight_analyze/0.4_0.3_0.3/ul_9252.xlsx","ul_9252")</f>
        <v>ul_9252</v>
      </c>
      <c r="B432">
        <v>0</v>
      </c>
      <c r="C432">
        <v>0</v>
      </c>
      <c r="D432">
        <v>0.33333333333333298</v>
      </c>
      <c r="E432">
        <v>0.33333333333333331</v>
      </c>
      <c r="F432">
        <v>0.33333333333333298</v>
      </c>
      <c r="G432">
        <v>0.33333333333333331</v>
      </c>
    </row>
    <row r="433" spans="1:7" x14ac:dyDescent="0.25">
      <c r="A433" t="str">
        <f>HYPERLINK("./new_k5/query_cmdrels_weight_analyze/0.4_0.3_0.3/ul_92560.xlsx","ul_92560")</f>
        <v>ul_92560</v>
      </c>
      <c r="B433">
        <v>0</v>
      </c>
      <c r="C433">
        <v>1</v>
      </c>
      <c r="D433">
        <v>0</v>
      </c>
      <c r="E433">
        <v>1</v>
      </c>
      <c r="F433">
        <v>0</v>
      </c>
      <c r="G433">
        <v>1</v>
      </c>
    </row>
    <row r="434" spans="1:7" x14ac:dyDescent="0.25">
      <c r="A434" t="str">
        <f>HYPERLINK("./new_k5/query_cmdrels_weight_analyze/0.4_0.3_0.3/ul_92799.xlsx","ul_92799")</f>
        <v>ul_92799</v>
      </c>
      <c r="B434">
        <v>0</v>
      </c>
      <c r="C434">
        <v>1</v>
      </c>
      <c r="D434">
        <v>0</v>
      </c>
      <c r="E434">
        <v>1</v>
      </c>
      <c r="F434">
        <v>0.2</v>
      </c>
      <c r="G434">
        <v>1</v>
      </c>
    </row>
    <row r="435" spans="1:7" x14ac:dyDescent="0.25">
      <c r="A435" t="str">
        <f>HYPERLINK("./new_k5/query_cmdrels_weight_analyze/0.4_0.3_0.3/ul_93139.xlsx","ul_93139")</f>
        <v>ul_93139</v>
      </c>
      <c r="B435">
        <v>1</v>
      </c>
      <c r="C435">
        <v>1</v>
      </c>
      <c r="D435">
        <v>1</v>
      </c>
      <c r="E435">
        <v>1</v>
      </c>
      <c r="F435">
        <v>1</v>
      </c>
      <c r="G435">
        <v>1</v>
      </c>
    </row>
    <row r="436" spans="1:7" x14ac:dyDescent="0.25">
      <c r="A436" t="str">
        <f>HYPERLINK("./new_k5/query_cmdrels_weight_analyze/0.4_0.3_0.3/ul_98461.xlsx","ul_98461")</f>
        <v>ul_98461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MAP</vt:lpstr>
      <vt:lpstr>MRR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明 陈</cp:lastModifiedBy>
  <dcterms:created xsi:type="dcterms:W3CDTF">2023-07-28T06:17:03Z</dcterms:created>
  <dcterms:modified xsi:type="dcterms:W3CDTF">2023-11-27T10:04:54Z</dcterms:modified>
</cp:coreProperties>
</file>