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E04C89B9-3450-4CA3-9890-870D67C3B964}" xr6:coauthVersionLast="47" xr6:coauthVersionMax="47" xr10:uidLastSave="{00000000-0000-0000-0000-000000000000}"/>
  <bookViews>
    <workbookView xWindow="-110" yWindow="-110" windowWidth="19420" windowHeight="10420" activeTab="1" xr2:uid="{EB30C26F-4571-5447-8EFE-CD622A342A0B}"/>
  </bookViews>
  <sheets>
    <sheet name="Project Model" sheetId="2" r:id="rId1"/>
    <sheet name="Solution Solver Summary" sheetId="8" r:id="rId2"/>
    <sheet name="Approved Line Charts" sheetId="6" r:id="rId3"/>
  </sheets>
  <definedNames>
    <definedName name="_xlnm.Print_Area" localSheetId="1">'Solution Solver Summary'!$A$1:$U$28</definedName>
    <definedName name="solver_adj" localSheetId="0" hidden="1">'Project Model'!$K$19:$K$23,'Project Model'!$K$26:$K$29,'Project Model'!$K$32:$K$34,'Project Model'!$C$71:$J$82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'Project Model'!$C$71:$J$82</definedName>
    <definedName name="solver_lhs2" localSheetId="0" hidden="1">'Project Model'!$C$83:$J$83</definedName>
    <definedName name="solver_lhs3" localSheetId="0" hidden="1">'Project Model'!$D$38:$G$38</definedName>
    <definedName name="solver_lhs4" localSheetId="0" hidden="1">'Project Model'!$K$19:$K$23</definedName>
    <definedName name="solver_lhs5" localSheetId="0" hidden="1">'Project Model'!$K$26:$K$29</definedName>
    <definedName name="solver_lhs6" localSheetId="0" hidden="1">'Project Model'!$K$32:$K$34</definedName>
    <definedName name="solver_lhs7" localSheetId="0" hidden="1">'Project Model'!$K$71:$K$82</definedName>
    <definedName name="solver_lhs8" localSheetId="0" hidden="1">'Project Model'!$N$15:$N$18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8</definedName>
    <definedName name="solver_num" localSheetId="1" hidden="1">0</definedName>
    <definedName name="solver_nwt" localSheetId="0" hidden="1">1</definedName>
    <definedName name="solver_opt" localSheetId="0" hidden="1">'Project Model'!$I$38</definedName>
    <definedName name="solver_opt" localSheetId="1" hidden="1">'Solution Solver Summary'!$I$38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5</definedName>
    <definedName name="solver_rel5" localSheetId="0" hidden="1">5</definedName>
    <definedName name="solver_rel6" localSheetId="0" hidden="1">5</definedName>
    <definedName name="solver_rel7" localSheetId="0" hidden="1">2</definedName>
    <definedName name="solver_rel8" localSheetId="0" hidden="1">3</definedName>
    <definedName name="solver_rhs1" localSheetId="0" hidden="1">"binary"</definedName>
    <definedName name="solver_rhs2" localSheetId="0" hidden="1">'Project Model'!$C$85:$J$85</definedName>
    <definedName name="solver_rhs3" localSheetId="0" hidden="1">'Project Model'!$D$40:$G$40</definedName>
    <definedName name="solver_rhs4" localSheetId="0" hidden="1">"binary"</definedName>
    <definedName name="solver_rhs5" localSheetId="0" hidden="1">"binary"</definedName>
    <definedName name="solver_rhs6" localSheetId="0" hidden="1">"binary"</definedName>
    <definedName name="solver_rhs7" localSheetId="0" hidden="1">'Project Model'!$M$71:$M$82</definedName>
    <definedName name="solver_rhs8" localSheetId="0" hidden="1">'Project Model'!$P$15:$P$18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2" l="1"/>
  <c r="M81" i="2"/>
  <c r="M82" i="2"/>
  <c r="M80" i="2"/>
  <c r="L22" i="2"/>
  <c r="M75" i="2"/>
  <c r="L33" i="2"/>
  <c r="L34" i="2"/>
  <c r="L32" i="2"/>
  <c r="L27" i="2"/>
  <c r="L28" i="2"/>
  <c r="L29" i="2"/>
  <c r="L26" i="2"/>
  <c r="L21" i="2"/>
  <c r="L23" i="2"/>
  <c r="L20" i="2"/>
  <c r="L19" i="2"/>
  <c r="K71" i="2"/>
  <c r="M71" i="2"/>
  <c r="K72" i="2"/>
  <c r="M72" i="2"/>
  <c r="K73" i="2"/>
  <c r="M73" i="2"/>
  <c r="K74" i="2"/>
  <c r="M74" i="2"/>
  <c r="K75" i="2"/>
  <c r="K76" i="2"/>
  <c r="M76" i="2"/>
  <c r="K77" i="2"/>
  <c r="M77" i="2"/>
  <c r="K78" i="2"/>
  <c r="M78" i="2"/>
  <c r="K79" i="2"/>
  <c r="M79" i="2"/>
  <c r="K80" i="2"/>
  <c r="K81" i="2"/>
  <c r="K82" i="2"/>
  <c r="C83" i="2"/>
  <c r="D83" i="2"/>
  <c r="E83" i="2"/>
  <c r="F83" i="2"/>
  <c r="G83" i="2"/>
  <c r="H83" i="2"/>
  <c r="I83" i="2"/>
  <c r="J83" i="2"/>
  <c r="N73" i="2"/>
  <c r="N77" i="2"/>
  <c r="N81" i="2"/>
  <c r="N75" i="2"/>
  <c r="N82" i="2"/>
  <c r="N74" i="2"/>
  <c r="N72" i="2"/>
  <c r="N80" i="2"/>
  <c r="N79" i="2"/>
  <c r="N76" i="2"/>
  <c r="N71" i="2"/>
  <c r="N78" i="2"/>
  <c r="H33" i="2" l="1"/>
  <c r="I33" i="2" s="1"/>
  <c r="J33" i="2" s="1"/>
  <c r="H34" i="2"/>
  <c r="I34" i="2" s="1"/>
  <c r="J34" i="2" s="1"/>
  <c r="H32" i="2"/>
  <c r="I32" i="2" s="1"/>
  <c r="J32" i="2" s="1"/>
  <c r="H27" i="2"/>
  <c r="I27" i="2" s="1"/>
  <c r="J27" i="2" s="1"/>
  <c r="H28" i="2"/>
  <c r="I28" i="2" s="1"/>
  <c r="J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H19" i="2"/>
  <c r="I19" i="2" s="1"/>
  <c r="D20" i="2"/>
  <c r="I23" i="2"/>
  <c r="J23" i="2" s="1"/>
  <c r="N16" i="2"/>
  <c r="N15" i="2"/>
  <c r="D19" i="2"/>
  <c r="J19" i="2" l="1"/>
  <c r="I38" i="2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D38" i="2"/>
  <c r="F30" i="2"/>
  <c r="Q27" i="2" s="1"/>
  <c r="E38" i="2"/>
  <c r="G19" i="2"/>
  <c r="E24" i="2"/>
  <c r="P26" i="2" s="1"/>
  <c r="E44" i="2"/>
  <c r="D24" i="2"/>
  <c r="O26" i="2" s="1"/>
  <c r="G20" i="2"/>
  <c r="F24" i="2"/>
  <c r="Q26" i="2" s="1"/>
  <c r="D35" i="2"/>
  <c r="O28" i="2" s="1"/>
  <c r="E35" i="2"/>
  <c r="P28" i="2" s="1"/>
  <c r="D30" i="2"/>
  <c r="O27" i="2" s="1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4" i="2"/>
  <c r="F44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<sst xmlns="http://schemas.openxmlformats.org/spreadsheetml/2006/main" count="127" uniqueCount="67">
  <si>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</si>
  <si>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</si>
  <si>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</si>
  <si>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</si>
  <si>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</si>
  <si>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</si>
  <si>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</si>
  <si>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</si>
  <si>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</si>
  <si>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</si>
  <si>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</si>
  <si>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</si>
  <si>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</si>
  <si>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</si>
  <si>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</si>
  <si>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</si>
  <si>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</si>
  <si>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</si>
  <si>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</si>
  <si>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</si>
  <si>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</si>
  <si>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</si>
  <si>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</si>
  <si>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</si>
  <si>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</si>
  <si>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</si>
  <si>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</si>
  <si>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</si>
  <si>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</si>
  <si>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</si>
  <si>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</si>
  <si>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</si>
  <si>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</si>
  <si>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</si>
  <si>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</si>
  <si>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</si>
  <si>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</si>
  <si>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</si>
  <si>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</si>
  <si>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</si>
  <si>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</si>
  <si>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</si>
  <si>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</si>
  <si>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</si>
  <si>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</si>
  <si>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</si>
  <si>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</si>
  <si>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</si>
  <si>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&gt;=</t>
  </si>
  <si>
    <t>Overall Totals for Approved Projects:</t>
  </si>
  <si>
    <t>NPV Discount Rate % decrease:</t>
  </si>
  <si>
    <t>Adjusted based on % Partnership:</t>
  </si>
  <si>
    <t>Total Approved NPV:</t>
  </si>
  <si>
    <t>&lt;=</t>
  </si>
  <si>
    <t>Qualified Managers:</t>
  </si>
  <si>
    <t>Manager</t>
  </si>
  <si>
    <t>Project</t>
  </si>
  <si>
    <t xml:space="preserve">Without the restriction of assigning qualified managers, based on this spreadsheet, solver looks like this: </t>
  </si>
  <si>
    <t xml:space="preserve">To give a maximum NPV of $2024 with all projects approved except 1, 10, and 12. </t>
  </si>
  <si>
    <t>Totals:</t>
  </si>
  <si>
    <t xml:space="preserve">Approved? </t>
  </si>
  <si>
    <t>With the addition of assigning managers, based on this spreadsheet, solver looks like this:</t>
  </si>
  <si>
    <t>=</t>
  </si>
  <si>
    <t>Manager:</t>
  </si>
  <si>
    <t xml:space="preserve">The manager assignment is given in L19 - L34 for each approved project. </t>
  </si>
  <si>
    <t>&lt;---use as objective for first question</t>
  </si>
  <si>
    <t xml:space="preserve">This gives a maximum NPV of $1954 meeting all constraints for all approved projects except 1, 3 and 12.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</si>
</sst>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9" applyNumberFormat="0" applyFill="0" applyAlignment="0" applyProtection="0"/>
  </cellStyleXfs>
  <cellXfs count="70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8" borderId="0" xfId="1" applyNumberFormat="1" applyFont="1" applyFill="1"/>
    <xf numFmtId="9" fontId="13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10" fillId="0" borderId="9" xfId="3"/>
    <xf numFmtId="164" fontId="0" fillId="0" borderId="0" xfId="1" applyNumberFormat="1" applyFont="1" applyFill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layout>
        <c:manualLayout>
          <c:xMode val="edge"/>
          <c:yMode val="edge"/>
          <c:x val="0.14339869281045753"/>
          <c:y val="1.9493177387914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(in millions)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4416826003824091E-2"/>
              <c:y val="0.2125679758308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Here.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12701</xdr:rowOff>
    </xdr:from>
    <xdr:to>
      <xdr:col>7</xdr:col>
      <xdr:colOff>618163</xdr:colOff>
      <xdr:row>25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D7CED-38DC-4FFF-A503-1FC8F91D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209551"/>
          <a:ext cx="5044113" cy="481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35718</xdr:colOff>
      <xdr:row>1</xdr:row>
      <xdr:rowOff>101204</xdr:rowOff>
    </xdr:from>
    <xdr:to>
      <xdr:col>18</xdr:col>
      <xdr:colOff>508441</xdr:colOff>
      <xdr:row>26</xdr:row>
      <xdr:rowOff>192716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65F77F-B040-428C-9641-DD1150C2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6422" y="303610"/>
          <a:ext cx="5264988" cy="5151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5</xdr:col>
      <xdr:colOff>533400</xdr:colOff>
      <xdr:row>14</xdr:row>
      <xdr:rowOff>19050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654050</xdr:colOff>
      <xdr:row>0</xdr:row>
      <xdr:rowOff>0</xdr:rowOff>
    </xdr:from>
    <xdr:to>
      <xdr:col>13</xdr:col>
      <xdr:colOff>609600</xdr:colOff>
      <xdr:row>11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101600</xdr:colOff>
      <xdr:row>1</xdr:row>
      <xdr:rowOff>76200</xdr:rowOff>
    </xdr:from>
    <xdr:to>
      <xdr:col>10</xdr:col>
      <xdr:colOff>95250</xdr:colOff>
      <xdr:row>10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393700</xdr:colOff>
      <xdr:row>7</xdr:row>
      <xdr:rowOff>12700</xdr:rowOff>
    </xdr:from>
    <xdr:to>
      <xdr:col>13</xdr:col>
      <xdr:colOff>463550</xdr:colOff>
      <xdr:row>17</xdr:row>
      <xdr:rowOff>146050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88"/>
  <sheetViews>
    <sheetView topLeftCell="B69" zoomScale="70" zoomScaleNormal="70" workbookViewId="0">
      <selection activeCell="N17" sqref="N17"/>
    </sheetView>
  </sheetViews>
  <sheetFormatPr defaultColWidth="8.83203125" defaultRowHeight="15.5"/>
  <cols>
    <col min="1" max="1" width="12" bestFit="1" customWidth="1"/>
    <col min="2" max="2" width="14" bestFit="1" customWidth="1"/>
    <col min="3" max="3" width="14.33203125" customWidth="1"/>
    <col min="4" max="4" width="18" customWidth="1"/>
    <col min="5" max="5" width="17" bestFit="1" customWidth="1"/>
    <col min="6" max="7" width="17.33203125" bestFit="1" customWidth="1"/>
    <col min="8" max="8" width="9" bestFit="1" customWidth="1"/>
    <col min="9" max="9" width="9.9140625" bestFit="1" customWidth="1"/>
    <col min="10" max="10" width="7.1640625" customWidth="1"/>
    <col min="11" max="11" width="14.6640625" bestFit="1" customWidth="1"/>
    <col min="12" max="12" width="9.6640625" customWidth="1"/>
    <col min="13" max="13" width="34" bestFit="1" customWidth="1"/>
    <col min="14" max="14" width="18.5" bestFit="1" customWidth="1"/>
    <col min="15" max="15" width="16.5" customWidth="1"/>
    <col min="16" max="16" width="14.33203125" customWidth="1"/>
  </cols>
  <sheetData>
    <row r="1" spans="1:16" ht="21">
      <c r="A1" s="60" t="s">
        <v>46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62" t="s">
        <v>22</v>
      </c>
      <c r="N3" s="62"/>
    </row>
    <row r="4" spans="1:16" ht="20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50</v>
      </c>
      <c r="N7" s="49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64" t="s">
        <v>12</v>
      </c>
      <c r="N9" s="65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 t="s">
        <v>47</v>
      </c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3</v>
      </c>
      <c r="O15" s="44" t="s">
        <v>48</v>
      </c>
      <c r="P15">
        <v>1</v>
      </c>
    </row>
    <row r="16" spans="1:16" ht="17" customHeight="1">
      <c r="M16" s="38" t="s">
        <v>27</v>
      </c>
      <c r="N16" s="38">
        <f>SUM(K26:K29)</f>
        <v>4</v>
      </c>
      <c r="O16" s="44" t="s">
        <v>48</v>
      </c>
      <c r="P16">
        <v>1</v>
      </c>
    </row>
    <row r="17" spans="1:17">
      <c r="D17" s="67" t="s">
        <v>51</v>
      </c>
      <c r="E17" s="67"/>
      <c r="F17" s="67"/>
      <c r="G17" s="67"/>
      <c r="M17" s="38" t="s">
        <v>28</v>
      </c>
      <c r="N17" s="38">
        <f>SUM(K32:K34)</f>
        <v>1</v>
      </c>
      <c r="O17" s="44" t="s">
        <v>48</v>
      </c>
      <c r="P17">
        <v>1</v>
      </c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L18" s="56" t="s">
        <v>63</v>
      </c>
      <c r="M18" s="38" t="s">
        <v>29</v>
      </c>
      <c r="N18" s="38">
        <f>SUM(N15:N17)</f>
        <v>8</v>
      </c>
      <c r="O18" s="44" t="s">
        <v>48</v>
      </c>
      <c r="P18">
        <v>1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  <c r="L19" s="44" t="e">
        <f>MATCH(1,C71:J71,0)</f>
        <v>#N/A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>F5*C20</f>
        <v>99</v>
      </c>
      <c r="F20" s="6">
        <f>G5*C20</f>
        <v>99</v>
      </c>
      <c r="G20" s="6">
        <f>SUM(D20,E20,F20)</f>
        <v>363</v>
      </c>
      <c r="H20" s="6">
        <f>H5</f>
        <v>180</v>
      </c>
      <c r="I20" s="5">
        <f>H20*(1-$N$7)</f>
        <v>158.4</v>
      </c>
      <c r="J20" s="2">
        <f>IF(K20=0,"",I20/SUM(E5:G5))</f>
        <v>0.14400000000000002</v>
      </c>
      <c r="K20" s="50">
        <v>1</v>
      </c>
      <c r="L20" s="44">
        <f>_xlfn.XMATCH(1,C72:J72,0)</f>
        <v>4</v>
      </c>
      <c r="M20" s="12" t="s">
        <v>36</v>
      </c>
      <c r="N20" s="19">
        <f>IF(SUM(N10:N14)=5,1,0)</f>
        <v>1</v>
      </c>
    </row>
    <row r="21" spans="1:17">
      <c r="A21" s="7">
        <v>3</v>
      </c>
      <c r="B21" s="8" t="s">
        <v>8</v>
      </c>
      <c r="C21" s="2">
        <v>0.5</v>
      </c>
      <c r="D21" s="5">
        <f>E6*C21</f>
        <v>50</v>
      </c>
      <c r="E21" s="5">
        <f>F6*C21</f>
        <v>100</v>
      </c>
      <c r="F21" s="6">
        <f>G6*C21</f>
        <v>200</v>
      </c>
      <c r="G21" s="6">
        <f t="shared" ref="G21:G34" si="0">SUM(D21,E21,F21)</f>
        <v>350</v>
      </c>
      <c r="H21" s="6">
        <f>H6</f>
        <v>80</v>
      </c>
      <c r="I21" s="5">
        <f>H21*(1-$N$7)</f>
        <v>70.400000000000006</v>
      </c>
      <c r="J21" s="2" t="str">
        <f>IF(K21=0,"",I21/SUM(E6:G6))</f>
        <v/>
      </c>
      <c r="K21" s="50">
        <v>0</v>
      </c>
      <c r="L21" s="44" t="e">
        <f>_xlfn.XMATCH(1,C73:J73,0)</f>
        <v>#N/A</v>
      </c>
    </row>
    <row r="22" spans="1:17">
      <c r="A22" s="7">
        <v>4</v>
      </c>
      <c r="B22" s="8" t="s">
        <v>8</v>
      </c>
      <c r="C22" s="3">
        <v>1</v>
      </c>
      <c r="D22" s="5">
        <f>E7*C22</f>
        <v>750</v>
      </c>
      <c r="E22" s="5">
        <f>F7*C22</f>
        <v>500</v>
      </c>
      <c r="F22" s="6">
        <f>G7*C22</f>
        <v>300</v>
      </c>
      <c r="G22" s="6">
        <f t="shared" si="0"/>
        <v>1550</v>
      </c>
      <c r="H22" s="6">
        <f>H7</f>
        <v>310</v>
      </c>
      <c r="I22" s="5">
        <f>H22*(1-$N$7)</f>
        <v>272.8</v>
      </c>
      <c r="J22" s="2">
        <f>IF(K22=0,"",I22/SUM(E7:G7))</f>
        <v>0.17600000000000002</v>
      </c>
      <c r="K22" s="50">
        <v>1</v>
      </c>
      <c r="L22" s="44">
        <f>_xlfn.XMATCH(1,C74:J74,0)</f>
        <v>1</v>
      </c>
    </row>
    <row r="23" spans="1:17">
      <c r="A23" s="7">
        <v>5</v>
      </c>
      <c r="B23" s="8" t="s">
        <v>8</v>
      </c>
      <c r="C23" s="4">
        <v>0.75</v>
      </c>
      <c r="D23" s="5">
        <f>E8*C23</f>
        <v>150</v>
      </c>
      <c r="E23" s="5">
        <f>F8*C23</f>
        <v>300</v>
      </c>
      <c r="F23" s="6">
        <f>G8*C23</f>
        <v>600</v>
      </c>
      <c r="G23" s="5">
        <f t="shared" si="0"/>
        <v>1050</v>
      </c>
      <c r="H23" s="6">
        <f>H8</f>
        <v>220</v>
      </c>
      <c r="I23" s="5">
        <f>H23*(1-$N$7)</f>
        <v>193.6</v>
      </c>
      <c r="J23" s="2">
        <f>IF(K23=0,"",I23/SUM(E8:G8))</f>
        <v>0.13828571428571429</v>
      </c>
      <c r="K23" s="50">
        <v>1</v>
      </c>
      <c r="L23" s="44">
        <f t="shared" ref="L23" si="1">_xlfn.XMATCH(1,C75:J75,0)</f>
        <v>7</v>
      </c>
    </row>
    <row r="24" spans="1:17">
      <c r="C24" s="45" t="s">
        <v>37</v>
      </c>
      <c r="D24" s="43">
        <f>SUMPRODUCT(D19:D23,K19:K23)</f>
        <v>1065</v>
      </c>
      <c r="E24" s="43">
        <f>SUMPRODUCT(E19:E23,K19:K23)</f>
        <v>899</v>
      </c>
      <c r="F24" s="43">
        <f>SUMPRODUCT(F19:F23,K19:K23)</f>
        <v>999</v>
      </c>
      <c r="G24" s="43">
        <f t="shared" si="0"/>
        <v>2963</v>
      </c>
      <c r="K24" s="44"/>
      <c r="L24" s="44"/>
      <c r="O24" s="69" t="s">
        <v>41</v>
      </c>
      <c r="P24" s="69"/>
      <c r="Q24" s="69"/>
    </row>
    <row r="25" spans="1:17">
      <c r="K25" s="44"/>
      <c r="L25" s="44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0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L26" s="44">
        <f>_xlfn.XMATCH(1,C76:J76,0)</f>
        <v>6</v>
      </c>
      <c r="M26" s="66" t="s">
        <v>45</v>
      </c>
      <c r="N26" s="46" t="s">
        <v>40</v>
      </c>
      <c r="O26" s="36">
        <f>D24</f>
        <v>1065</v>
      </c>
      <c r="P26" s="36">
        <f>E24</f>
        <v>899</v>
      </c>
      <c r="Q26" s="36">
        <f>F24</f>
        <v>999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0"/>
        <v>1800</v>
      </c>
      <c r="H27" s="6">
        <f>H10</f>
        <v>410</v>
      </c>
      <c r="I27" s="5">
        <f>H27*(1-$N$7)</f>
        <v>360.8</v>
      </c>
      <c r="J27" s="2">
        <f>IF(K27=0,"",I27/SUM(E10:G10))</f>
        <v>0.20044444444444445</v>
      </c>
      <c r="K27" s="50">
        <v>1</v>
      </c>
      <c r="L27" s="44">
        <f t="shared" ref="L27:L29" si="2">_xlfn.XMATCH(1,C77:J77,0)</f>
        <v>5</v>
      </c>
      <c r="M27" s="66"/>
      <c r="N27" s="46" t="s">
        <v>9</v>
      </c>
      <c r="O27" s="36">
        <f>D30</f>
        <v>2318</v>
      </c>
      <c r="P27" s="36">
        <f>E30</f>
        <v>2002</v>
      </c>
      <c r="Q27" s="36">
        <f>F30</f>
        <v>1586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0"/>
        <v>2100</v>
      </c>
      <c r="H28" s="6">
        <f>H11</f>
        <v>280</v>
      </c>
      <c r="I28" s="5">
        <f>H28*(1-$N$7)</f>
        <v>246.4</v>
      </c>
      <c r="J28" s="2">
        <f>IF(K28=0,"",I28/SUM(E11:G11))</f>
        <v>0.11733333333333333</v>
      </c>
      <c r="K28" s="50">
        <v>1</v>
      </c>
      <c r="L28" s="44">
        <f t="shared" si="2"/>
        <v>2</v>
      </c>
      <c r="M28" s="66"/>
      <c r="N28" s="46" t="s">
        <v>10</v>
      </c>
      <c r="O28" s="36">
        <f>D35</f>
        <v>350</v>
      </c>
      <c r="P28" s="36">
        <f>E35</f>
        <v>250</v>
      </c>
      <c r="Q28" s="36">
        <f>F35</f>
        <v>150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0"/>
        <v>1206</v>
      </c>
      <c r="H29" s="6">
        <f>H12</f>
        <v>380</v>
      </c>
      <c r="I29" s="5">
        <f>H29*(1-$N$7)</f>
        <v>334.4</v>
      </c>
      <c r="J29" s="2">
        <f>IF(K29=0,"",I29/SUM(E12:G12))</f>
        <v>0.18577777777777776</v>
      </c>
      <c r="K29" s="50">
        <v>1</v>
      </c>
      <c r="L29" s="44">
        <f t="shared" si="2"/>
        <v>3</v>
      </c>
    </row>
    <row r="30" spans="1:17">
      <c r="C30" s="45" t="s">
        <v>38</v>
      </c>
      <c r="D30" s="43">
        <f>SUMPRODUCT(D26:D29,$K$26:$K$29)</f>
        <v>2318</v>
      </c>
      <c r="E30" s="43">
        <f>SUMPRODUCT(E26:E29,$K$26:$K$29)</f>
        <v>2002</v>
      </c>
      <c r="F30" s="43">
        <f>SUMPRODUCT(F26:F29,$K$26:$K$29)</f>
        <v>1586</v>
      </c>
      <c r="G30" s="36">
        <f>SUM(D30:F30)</f>
        <v>5906</v>
      </c>
      <c r="K30" s="44"/>
      <c r="L30" s="44"/>
    </row>
    <row r="31" spans="1:17">
      <c r="K31" s="44"/>
      <c r="L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0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0">
        <v>0</v>
      </c>
      <c r="L32" s="44" t="e">
        <f>_xlfn.XMATCH(1,C80:J80,0)</f>
        <v>#N/A</v>
      </c>
    </row>
    <row r="33" spans="1:12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0"/>
        <v>750</v>
      </c>
      <c r="H33" s="39">
        <f>H14</f>
        <v>260</v>
      </c>
      <c r="I33" s="5">
        <f>H33*(1-$N$7)</f>
        <v>228.8</v>
      </c>
      <c r="J33" s="2">
        <f>IF(K33=0,"",I33/SUM(E14:G14))</f>
        <v>0.15253333333333335</v>
      </c>
      <c r="K33" s="50">
        <v>1</v>
      </c>
      <c r="L33" s="44">
        <f t="shared" ref="L33:L34" si="3">_xlfn.XMATCH(1,C81:J81,0)</f>
        <v>8</v>
      </c>
    </row>
    <row r="34" spans="1:12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0"/>
        <v>2300</v>
      </c>
      <c r="H34" s="39">
        <f>H15</f>
        <v>340</v>
      </c>
      <c r="I34" s="5">
        <f>H34*(1-$N$7)</f>
        <v>299.2</v>
      </c>
      <c r="J34" s="2" t="str">
        <f>IF(K34=0,"",I34/SUM(E15:G15))</f>
        <v/>
      </c>
      <c r="K34" s="50">
        <v>0</v>
      </c>
      <c r="L34" s="44" t="e">
        <f t="shared" si="3"/>
        <v>#N/A</v>
      </c>
    </row>
    <row r="35" spans="1:12">
      <c r="C35" s="45" t="s">
        <v>39</v>
      </c>
      <c r="D35" s="5">
        <f>SUMPRODUCT(D32:D34,$K$32:$K$34)</f>
        <v>350</v>
      </c>
      <c r="E35" s="5">
        <f>SUMPRODUCT(E32:E34,$K$32:$K$34)</f>
        <v>250</v>
      </c>
      <c r="F35" s="5">
        <f>SUMPRODUCT(F32:F34,$K$32:$K$34)</f>
        <v>150</v>
      </c>
      <c r="G35" s="5">
        <f>SUM(D35:F35)</f>
        <v>750</v>
      </c>
    </row>
    <row r="36" spans="1:12">
      <c r="F36" s="1"/>
      <c r="G36" s="1"/>
    </row>
    <row r="37" spans="1:12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52</v>
      </c>
    </row>
    <row r="38" spans="1:12">
      <c r="C38" s="45" t="s">
        <v>49</v>
      </c>
      <c r="D38" s="14">
        <f>SUMPRODUCT(D19:D23,$K$19:$K$23)+SUMPRODUCT(D26:D29,$K$26:$K$29)+SUMPRODUCT(D32:D34,$K$32:$K$34)</f>
        <v>3733</v>
      </c>
      <c r="E38" s="14">
        <f>SUMPRODUCT(E19:E23,$K$19:$K$23)+SUMPRODUCT(E26:E29,$K$26:$K$29)+SUMPRODUCT(E32:E34,$K$32:$K$34)</f>
        <v>3151</v>
      </c>
      <c r="F38" s="14">
        <f>SUMPRODUCT(F19:F23,$K$19:$K$23)+SUMPRODUCT(F26:F29,$K$26:$K$29)+SUMPRODUCT(F32:F34,$K$32:$K$34)</f>
        <v>2735</v>
      </c>
      <c r="G38" s="14">
        <f>SUM(D38:F38)</f>
        <v>9619</v>
      </c>
      <c r="I38" s="48">
        <f>SUMPRODUCT(I19:I34,K19:K34)</f>
        <v>1953.6000000000001</v>
      </c>
      <c r="J38" t="s">
        <v>65</v>
      </c>
    </row>
    <row r="39" spans="1:12">
      <c r="D39" s="44" t="s">
        <v>53</v>
      </c>
      <c r="E39" s="44" t="s">
        <v>53</v>
      </c>
      <c r="F39" s="44" t="s">
        <v>53</v>
      </c>
      <c r="G39" s="44" t="s">
        <v>53</v>
      </c>
    </row>
    <row r="40" spans="1:12">
      <c r="D40" s="44">
        <v>4000</v>
      </c>
      <c r="E40" s="44">
        <v>4000</v>
      </c>
      <c r="F40" s="44">
        <v>4000</v>
      </c>
      <c r="G40" s="44">
        <v>10000</v>
      </c>
    </row>
    <row r="42" spans="1:12">
      <c r="E42" s="63" t="s">
        <v>32</v>
      </c>
      <c r="F42" s="63"/>
      <c r="G42" s="63"/>
    </row>
    <row r="43" spans="1:12">
      <c r="D43" s="12" t="s">
        <v>31</v>
      </c>
      <c r="E43" s="12" t="s">
        <v>33</v>
      </c>
      <c r="F43" s="12" t="s">
        <v>34</v>
      </c>
      <c r="G43" s="12" t="s">
        <v>35</v>
      </c>
    </row>
    <row r="44" spans="1:12">
      <c r="D44" s="40"/>
      <c r="E44" s="42">
        <f>AVERAGE(J19:J34)</f>
        <v>0.15167182539682542</v>
      </c>
      <c r="F44" s="42">
        <f>MIN(J19:J34)</f>
        <v>9.9000000000000005E-2</v>
      </c>
      <c r="G44" s="42">
        <f>MAX(J19:J34)</f>
        <v>0.20044444444444445</v>
      </c>
    </row>
    <row r="45" spans="1:12">
      <c r="D45" s="2">
        <v>0</v>
      </c>
      <c r="E45" s="2">
        <f t="dataTable" ref="E45:G51" dt2D="0" dtr="0" r1="N7"/>
        <v>0.17235434704184704</v>
      </c>
      <c r="F45" s="2">
        <v>0.1125</v>
      </c>
      <c r="G45" s="2">
        <v>0.22777777777777777</v>
      </c>
    </row>
    <row r="46" spans="1:12">
      <c r="D46" s="2">
        <v>0.05</v>
      </c>
      <c r="E46" s="2">
        <v>0.16373662968975469</v>
      </c>
      <c r="F46" s="2">
        <v>0.106875</v>
      </c>
      <c r="G46" s="2">
        <v>0.21638888888888888</v>
      </c>
    </row>
    <row r="47" spans="1:12">
      <c r="D47" s="2">
        <v>0.1</v>
      </c>
      <c r="E47" s="2">
        <v>0.15511891233766231</v>
      </c>
      <c r="F47" s="2">
        <v>0.10125000000000001</v>
      </c>
      <c r="G47" s="2">
        <v>0.20499999999999999</v>
      </c>
    </row>
    <row r="48" spans="1:12">
      <c r="D48" s="2">
        <v>0.15</v>
      </c>
      <c r="E48" s="2">
        <v>0.14650119498556999</v>
      </c>
      <c r="F48" s="2">
        <v>9.5625000000000002E-2</v>
      </c>
      <c r="G48" s="2">
        <v>0.19361111111111112</v>
      </c>
    </row>
    <row r="49" spans="1:10">
      <c r="D49" s="2">
        <v>0.2</v>
      </c>
      <c r="E49" s="2">
        <v>0.13788347763347764</v>
      </c>
      <c r="F49" s="2">
        <v>0.09</v>
      </c>
      <c r="G49" s="2">
        <v>0.18222222222222223</v>
      </c>
    </row>
    <row r="50" spans="1:10">
      <c r="D50" s="2">
        <v>0.25</v>
      </c>
      <c r="E50" s="2">
        <v>0.12926576028138526</v>
      </c>
      <c r="F50" s="2">
        <v>8.4375000000000006E-2</v>
      </c>
      <c r="G50" s="2">
        <v>0.17083333333333334</v>
      </c>
    </row>
    <row r="51" spans="1:10">
      <c r="D51" s="2">
        <v>0.3</v>
      </c>
      <c r="E51" s="2">
        <v>0.12064804292929292</v>
      </c>
      <c r="F51" s="2">
        <v>7.8749999999999987E-2</v>
      </c>
      <c r="G51" s="2">
        <v>0.15944444444444444</v>
      </c>
    </row>
    <row r="53" spans="1:10" ht="20" thickBot="1">
      <c r="A53" s="53" t="s">
        <v>54</v>
      </c>
    </row>
    <row r="54" spans="1:10" ht="16" thickTop="1">
      <c r="A54" s="38"/>
      <c r="B54" s="63" t="s">
        <v>55</v>
      </c>
      <c r="C54" s="63"/>
      <c r="D54" s="63"/>
      <c r="E54" s="63"/>
      <c r="F54" s="63"/>
      <c r="G54" s="63"/>
      <c r="H54" s="63"/>
      <c r="I54" s="63"/>
      <c r="J54" s="38"/>
    </row>
    <row r="55" spans="1:10" ht="16" thickBot="1">
      <c r="A55" s="38"/>
      <c r="B55" s="38"/>
      <c r="C55" s="52">
        <v>1</v>
      </c>
      <c r="D55" s="52">
        <v>2</v>
      </c>
      <c r="E55" s="52">
        <v>3</v>
      </c>
      <c r="F55" s="52">
        <v>4</v>
      </c>
      <c r="G55" s="52">
        <v>5</v>
      </c>
      <c r="H55" s="52">
        <v>6</v>
      </c>
      <c r="I55" s="52">
        <v>7</v>
      </c>
      <c r="J55" s="52">
        <v>8</v>
      </c>
    </row>
    <row r="56" spans="1:10" ht="16" thickTop="1">
      <c r="A56" s="68" t="s">
        <v>56</v>
      </c>
      <c r="B56" s="12">
        <v>1</v>
      </c>
      <c r="C56" s="51">
        <v>1</v>
      </c>
      <c r="D56" s="51">
        <v>1</v>
      </c>
      <c r="E56" s="51">
        <v>1</v>
      </c>
      <c r="F56" s="51">
        <v>1</v>
      </c>
      <c r="G56" s="51">
        <v>1</v>
      </c>
      <c r="H56" s="51">
        <v>0</v>
      </c>
      <c r="I56" s="51">
        <v>0</v>
      </c>
      <c r="J56" s="51">
        <v>0</v>
      </c>
    </row>
    <row r="57" spans="1:10">
      <c r="A57" s="68"/>
      <c r="B57" s="12">
        <v>2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r="58" spans="1:10">
      <c r="A58" s="68"/>
      <c r="B58" s="12">
        <v>3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r="59" spans="1:10">
      <c r="A59" s="68"/>
      <c r="B59" s="12">
        <v>4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r="60" spans="1:10">
      <c r="A60" s="68"/>
      <c r="B60" s="12">
        <v>5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r="61" spans="1:10">
      <c r="A61" s="68"/>
      <c r="B61" s="12">
        <v>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r="62" spans="1:10">
      <c r="A62" s="68"/>
      <c r="B62" s="12">
        <v>7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r="63" spans="1:10">
      <c r="A63" s="68"/>
      <c r="B63" s="12">
        <v>8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r="64" spans="1:10">
      <c r="A64" s="68"/>
      <c r="B64" s="12">
        <v>9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r="65" spans="1:14">
      <c r="A65" s="68"/>
      <c r="B65" s="12">
        <v>10</v>
      </c>
      <c r="C65" s="38">
        <v>1</v>
      </c>
      <c r="D65" s="38">
        <v>1</v>
      </c>
      <c r="E65" s="38">
        <v>1</v>
      </c>
      <c r="F65" s="38">
        <v>1</v>
      </c>
      <c r="G65" s="38">
        <v>0</v>
      </c>
      <c r="H65" s="38">
        <v>1</v>
      </c>
      <c r="I65" s="38">
        <v>1</v>
      </c>
      <c r="J65" s="38">
        <v>1</v>
      </c>
    </row>
    <row r="66" spans="1:14">
      <c r="A66" s="68"/>
      <c r="B66" s="12">
        <v>11</v>
      </c>
      <c r="C66" s="38">
        <v>1</v>
      </c>
      <c r="D66" s="38">
        <v>1</v>
      </c>
      <c r="E66" s="38">
        <v>1</v>
      </c>
      <c r="F66" s="38">
        <v>1</v>
      </c>
      <c r="G66" s="38">
        <v>1</v>
      </c>
      <c r="H66" s="38">
        <v>1</v>
      </c>
      <c r="I66" s="38">
        <v>0</v>
      </c>
      <c r="J66" s="38">
        <v>1</v>
      </c>
    </row>
    <row r="67" spans="1:14">
      <c r="A67" s="68"/>
      <c r="B67" s="12">
        <v>12</v>
      </c>
      <c r="C67" s="38">
        <v>0</v>
      </c>
      <c r="D67" s="38">
        <v>0</v>
      </c>
      <c r="E67" s="38">
        <v>0</v>
      </c>
      <c r="F67" s="38">
        <v>1</v>
      </c>
      <c r="G67" s="38">
        <v>1</v>
      </c>
      <c r="H67" s="38">
        <v>0</v>
      </c>
      <c r="I67" s="38">
        <v>1</v>
      </c>
      <c r="J67" s="38">
        <v>1</v>
      </c>
    </row>
    <row r="69" spans="1:14">
      <c r="A69" s="38"/>
      <c r="B69" s="63" t="s">
        <v>55</v>
      </c>
      <c r="C69" s="63"/>
      <c r="D69" s="63"/>
      <c r="E69" s="63"/>
      <c r="F69" s="63"/>
      <c r="G69" s="63"/>
      <c r="H69" s="63"/>
      <c r="I69" s="63"/>
      <c r="J69" s="38"/>
    </row>
    <row r="70" spans="1:14" ht="16" thickBot="1">
      <c r="A70" s="38"/>
      <c r="B70" s="38"/>
      <c r="C70" s="59">
        <v>1</v>
      </c>
      <c r="D70" s="59">
        <v>2</v>
      </c>
      <c r="E70" s="59">
        <v>3</v>
      </c>
      <c r="F70" s="59">
        <v>4</v>
      </c>
      <c r="G70" s="59">
        <v>5</v>
      </c>
      <c r="H70" s="59">
        <v>6</v>
      </c>
      <c r="I70" s="59">
        <v>7</v>
      </c>
      <c r="J70" s="59">
        <v>8</v>
      </c>
      <c r="K70" s="44" t="s">
        <v>59</v>
      </c>
      <c r="M70" s="44" t="s">
        <v>60</v>
      </c>
    </row>
    <row r="71" spans="1:14" ht="16" thickTop="1">
      <c r="A71" s="68" t="s">
        <v>56</v>
      </c>
      <c r="B71" s="12">
        <v>1</v>
      </c>
      <c r="C71" s="57">
        <v>0</v>
      </c>
      <c r="D71" s="57">
        <v>0</v>
      </c>
      <c r="E71" s="57">
        <v>0</v>
      </c>
      <c r="F71" s="57">
        <v>0</v>
      </c>
      <c r="G71" s="57">
        <v>0</v>
      </c>
      <c r="H71" s="57">
        <v>0</v>
      </c>
      <c r="I71" s="57">
        <v>0</v>
      </c>
      <c r="J71" s="57">
        <v>0</v>
      </c>
      <c r="K71" s="44">
        <f t="shared" ref="K71:K82" si="4">SUM(C71:J71)</f>
        <v>0</v>
      </c>
      <c r="L71" s="44" t="s">
        <v>53</v>
      </c>
      <c r="M71" s="44">
        <f>'Project Model'!K19</f>
        <v>0</v>
      </c>
      <c r="N71" t="str">
        <f t="shared" ref="N71:N82" ca="1" si="5">_xlfn.FORMULATEXT(M71)</f>
        <v>='Project Model'!K19</v>
      </c>
    </row>
    <row r="72" spans="1:14">
      <c r="A72" s="68"/>
      <c r="B72" s="12">
        <v>2</v>
      </c>
      <c r="C72" s="58">
        <v>0</v>
      </c>
      <c r="D72" s="58">
        <v>0</v>
      </c>
      <c r="E72" s="58">
        <v>0</v>
      </c>
      <c r="F72" s="58">
        <v>1</v>
      </c>
      <c r="G72" s="58">
        <v>0</v>
      </c>
      <c r="H72" s="58">
        <v>0</v>
      </c>
      <c r="I72" s="58">
        <v>0</v>
      </c>
      <c r="J72" s="58">
        <v>0</v>
      </c>
      <c r="K72" s="44">
        <f t="shared" si="4"/>
        <v>1</v>
      </c>
      <c r="L72" s="44" t="s">
        <v>53</v>
      </c>
      <c r="M72" s="44">
        <f>'Project Model'!K20</f>
        <v>1</v>
      </c>
      <c r="N72" t="str">
        <f t="shared" ca="1" si="5"/>
        <v>='Project Model'!K20</v>
      </c>
    </row>
    <row r="73" spans="1:14">
      <c r="A73" s="68"/>
      <c r="B73" s="12">
        <v>3</v>
      </c>
      <c r="C73" s="58">
        <v>0</v>
      </c>
      <c r="D73" s="58">
        <v>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44">
        <f t="shared" si="4"/>
        <v>0</v>
      </c>
      <c r="L73" s="44" t="s">
        <v>53</v>
      </c>
      <c r="M73" s="44">
        <f>'Project Model'!K21</f>
        <v>0</v>
      </c>
      <c r="N73" t="str">
        <f t="shared" ca="1" si="5"/>
        <v>='Project Model'!K21</v>
      </c>
    </row>
    <row r="74" spans="1:14">
      <c r="A74" s="68"/>
      <c r="B74" s="12">
        <v>4</v>
      </c>
      <c r="C74" s="58">
        <v>1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44">
        <f t="shared" si="4"/>
        <v>1</v>
      </c>
      <c r="L74" s="44" t="s">
        <v>53</v>
      </c>
      <c r="M74" s="44">
        <f>'Project Model'!K22</f>
        <v>1</v>
      </c>
      <c r="N74" t="str">
        <f t="shared" ca="1" si="5"/>
        <v>='Project Model'!K22</v>
      </c>
    </row>
    <row r="75" spans="1:14">
      <c r="A75" s="68"/>
      <c r="B75" s="12">
        <v>5</v>
      </c>
      <c r="C75" s="58">
        <v>0</v>
      </c>
      <c r="D75" s="58">
        <v>0</v>
      </c>
      <c r="E75" s="58">
        <v>0</v>
      </c>
      <c r="F75" s="58">
        <v>0</v>
      </c>
      <c r="G75" s="58">
        <v>0</v>
      </c>
      <c r="H75" s="58">
        <v>0</v>
      </c>
      <c r="I75" s="58">
        <v>1</v>
      </c>
      <c r="J75" s="58">
        <v>0</v>
      </c>
      <c r="K75" s="44">
        <f t="shared" si="4"/>
        <v>1</v>
      </c>
      <c r="L75" s="44" t="s">
        <v>53</v>
      </c>
      <c r="M75" s="44">
        <f>'Project Model'!K23</f>
        <v>1</v>
      </c>
      <c r="N75" t="str">
        <f t="shared" ca="1" si="5"/>
        <v>='Project Model'!K23</v>
      </c>
    </row>
    <row r="76" spans="1:14">
      <c r="A76" s="68"/>
      <c r="B76" s="12">
        <v>6</v>
      </c>
      <c r="C76" s="58">
        <v>0</v>
      </c>
      <c r="D76" s="58">
        <v>0</v>
      </c>
      <c r="E76" s="58">
        <v>0</v>
      </c>
      <c r="F76" s="58">
        <v>0</v>
      </c>
      <c r="G76" s="58">
        <v>0</v>
      </c>
      <c r="H76" s="58">
        <v>1</v>
      </c>
      <c r="I76" s="58">
        <v>0</v>
      </c>
      <c r="J76" s="58">
        <v>0</v>
      </c>
      <c r="K76" s="44">
        <f t="shared" si="4"/>
        <v>1</v>
      </c>
      <c r="L76" s="44" t="s">
        <v>53</v>
      </c>
      <c r="M76" s="44">
        <f>'Project Model'!K26</f>
        <v>1</v>
      </c>
      <c r="N76" t="str">
        <f t="shared" ca="1" si="5"/>
        <v>='Project Model'!K26</v>
      </c>
    </row>
    <row r="77" spans="1:14">
      <c r="A77" s="68"/>
      <c r="B77" s="12">
        <v>7</v>
      </c>
      <c r="C77" s="58">
        <v>0</v>
      </c>
      <c r="D77" s="58">
        <v>0</v>
      </c>
      <c r="E77" s="58">
        <v>0</v>
      </c>
      <c r="F77" s="58">
        <v>0</v>
      </c>
      <c r="G77" s="58">
        <v>1</v>
      </c>
      <c r="H77" s="58">
        <v>0</v>
      </c>
      <c r="I77" s="58">
        <v>0</v>
      </c>
      <c r="J77" s="58">
        <v>0</v>
      </c>
      <c r="K77" s="44">
        <f t="shared" si="4"/>
        <v>1</v>
      </c>
      <c r="L77" s="44" t="s">
        <v>53</v>
      </c>
      <c r="M77" s="44">
        <f>'Project Model'!K27</f>
        <v>1</v>
      </c>
      <c r="N77" t="str">
        <f t="shared" ca="1" si="5"/>
        <v>='Project Model'!K27</v>
      </c>
    </row>
    <row r="78" spans="1:14">
      <c r="A78" s="68"/>
      <c r="B78" s="12">
        <v>8</v>
      </c>
      <c r="C78" s="58">
        <v>0</v>
      </c>
      <c r="D78" s="58">
        <v>1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44">
        <f t="shared" si="4"/>
        <v>1</v>
      </c>
      <c r="L78" s="44" t="s">
        <v>53</v>
      </c>
      <c r="M78" s="44">
        <f>'Project Model'!K28</f>
        <v>1</v>
      </c>
      <c r="N78" t="str">
        <f t="shared" ca="1" si="5"/>
        <v>='Project Model'!K28</v>
      </c>
    </row>
    <row r="79" spans="1:14">
      <c r="A79" s="68"/>
      <c r="B79" s="12">
        <v>9</v>
      </c>
      <c r="C79" s="58">
        <v>0</v>
      </c>
      <c r="D79" s="58">
        <v>0</v>
      </c>
      <c r="E79" s="58">
        <v>1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44">
        <f t="shared" si="4"/>
        <v>1</v>
      </c>
      <c r="L79" s="44" t="s">
        <v>53</v>
      </c>
      <c r="M79" s="44">
        <f>'Project Model'!K29</f>
        <v>1</v>
      </c>
      <c r="N79" t="str">
        <f t="shared" ca="1" si="5"/>
        <v>='Project Model'!K29</v>
      </c>
    </row>
    <row r="80" spans="1:14">
      <c r="A80" s="68"/>
      <c r="B80" s="12">
        <v>10</v>
      </c>
      <c r="C80" s="58">
        <v>0</v>
      </c>
      <c r="D80" s="58">
        <v>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44">
        <f t="shared" si="4"/>
        <v>0</v>
      </c>
      <c r="L80" s="44" t="s">
        <v>53</v>
      </c>
      <c r="M80" s="44">
        <f>'Project Model'!K32</f>
        <v>0</v>
      </c>
      <c r="N80" t="str">
        <f ca="1">_xlfn.FORMULATEXT(M80)</f>
        <v>='Project Model'!K32</v>
      </c>
    </row>
    <row r="81" spans="1:14">
      <c r="A81" s="68"/>
      <c r="B81" s="12">
        <v>11</v>
      </c>
      <c r="C81" s="58">
        <v>0</v>
      </c>
      <c r="D81" s="58">
        <v>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1</v>
      </c>
      <c r="K81" s="44">
        <f t="shared" si="4"/>
        <v>1</v>
      </c>
      <c r="L81" s="44" t="s">
        <v>53</v>
      </c>
      <c r="M81" s="44">
        <f>'Project Model'!K33</f>
        <v>1</v>
      </c>
      <c r="N81" t="str">
        <f t="shared" ca="1" si="5"/>
        <v>='Project Model'!K33</v>
      </c>
    </row>
    <row r="82" spans="1:14">
      <c r="A82" s="68"/>
      <c r="B82" s="12">
        <v>12</v>
      </c>
      <c r="C82" s="58">
        <v>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44">
        <f t="shared" si="4"/>
        <v>0</v>
      </c>
      <c r="L82" s="44" t="s">
        <v>53</v>
      </c>
      <c r="M82" s="44">
        <f>'Project Model'!K34</f>
        <v>0</v>
      </c>
      <c r="N82" t="str">
        <f t="shared" ca="1" si="5"/>
        <v>='Project Model'!K34</v>
      </c>
    </row>
    <row r="83" spans="1:14">
      <c r="B83" t="s">
        <v>59</v>
      </c>
      <c r="C83" s="44">
        <f t="shared" ref="C83:J83" si="6">SUM(C71:C82)</f>
        <v>1</v>
      </c>
      <c r="D83" s="44">
        <f t="shared" si="6"/>
        <v>1</v>
      </c>
      <c r="E83" s="44">
        <f t="shared" si="6"/>
        <v>1</v>
      </c>
      <c r="F83" s="44">
        <f t="shared" si="6"/>
        <v>1</v>
      </c>
      <c r="G83" s="44">
        <f t="shared" si="6"/>
        <v>1</v>
      </c>
      <c r="H83" s="44">
        <f t="shared" si="6"/>
        <v>1</v>
      </c>
      <c r="I83" s="44">
        <f t="shared" si="6"/>
        <v>1</v>
      </c>
      <c r="J83" s="44">
        <f t="shared" si="6"/>
        <v>1</v>
      </c>
    </row>
    <row r="84" spans="1:14">
      <c r="C84" s="44" t="s">
        <v>62</v>
      </c>
      <c r="D84" s="44" t="s">
        <v>62</v>
      </c>
      <c r="E84" s="44" t="s">
        <v>62</v>
      </c>
      <c r="F84" s="44" t="s">
        <v>62</v>
      </c>
      <c r="G84" s="44" t="s">
        <v>62</v>
      </c>
      <c r="H84" s="44" t="s">
        <v>62</v>
      </c>
      <c r="I84" s="44" t="s">
        <v>62</v>
      </c>
      <c r="J84" s="44" t="s">
        <v>62</v>
      </c>
    </row>
    <row r="85" spans="1:14">
      <c r="C85" s="44">
        <v>1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1</v>
      </c>
      <c r="J85" s="44">
        <v>1</v>
      </c>
    </row>
    <row r="87" spans="1:14">
      <c r="D87" s="54"/>
    </row>
    <row r="88" spans="1:14">
      <c r="D88" s="55"/>
    </row>
  </sheetData>
  <mergeCells count="11">
    <mergeCell ref="B54:I54"/>
    <mergeCell ref="A56:A67"/>
    <mergeCell ref="B69:I69"/>
    <mergeCell ref="A71:A82"/>
    <mergeCell ref="O24:Q24"/>
    <mergeCell ref="A1:L1"/>
    <mergeCell ref="M3:N3"/>
    <mergeCell ref="E42:G42"/>
    <mergeCell ref="M9:N9"/>
    <mergeCell ref="M26:M28"/>
    <mergeCell ref="D17:G17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7FA4-041D-4B56-B1E8-7F8D5B42D28A}">
  <dimension ref="A1:L29"/>
  <sheetViews>
    <sheetView tabSelected="1" zoomScale="80" zoomScaleNormal="80" zoomScaleSheetLayoutView="80" workbookViewId="0">
      <selection activeCell="I26" sqref="I26"/>
    </sheetView>
  </sheetViews>
  <sheetFormatPr defaultRowHeight="15.5"/>
  <sheetData>
    <row r="1" spans="1:12">
      <c r="A1" t="s">
        <v>57</v>
      </c>
      <c r="L1" t="s">
        <v>61</v>
      </c>
    </row>
    <row r="28" spans="1:12">
      <c r="A28" t="s">
        <v>58</v>
      </c>
      <c r="L28" t="s">
        <v>66</v>
      </c>
    </row>
    <row r="29" spans="1:12">
      <c r="L29" t="s">
        <v>64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topLeftCell="A2" workbookViewId="0">
      <selection activeCell="E17" sqref="E17"/>
    </sheetView>
  </sheetViews>
  <sheetFormatPr defaultColWidth="10.6640625" defaultRowHeight="15.5"/>
  <cols>
    <col min="4" max="4" width="10.3320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 Model</vt:lpstr>
      <vt:lpstr>Solution Solver Summary</vt:lpstr>
      <vt:lpstr>Approved Line Charts</vt:lpstr>
      <vt:lpstr>'Solution Solver Summary'!Print_Area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2024-10-23T02:42:24Z</dcterms:modified>
  <cp:category/>
  <cp:contentStatus/>
</cp:coreProperties>
</file>